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Inputs" sheetId="2" state="visible" r:id="rId4"/>
    <sheet name="Lot grid" sheetId="3" state="visible" r:id="rId5"/>
    <sheet name="PL toll" sheetId="4" state="visible" r:id="rId6"/>
    <sheet name="PL trading" sheetId="5" state="visible" r:id="rId7"/>
    <sheet name="Break-even" sheetId="6" state="visible" r:id="rId8"/>
    <sheet name="Scenarios" sheetId="7" state="visible" r:id="rId9"/>
    <sheet name="Stop sheet" sheetId="8" state="visible" r:id="rId10"/>
    <sheet name="Sources" sheetId="9" state="visible" r:id="rId11"/>
  </sheets>
  <definedNames>
    <definedName function="false" hidden="false" localSheetId="1" name="_xlnm.Print_Titles" vbProcedure="false">Inputs!$5:$6</definedName>
    <definedName function="false" hidden="false" localSheetId="3" name="_xlnm.Print_Titles" vbProcedure="false">'PL toll'!$8:$8</definedName>
    <definedName function="false" hidden="false" localSheetId="4" name="_xlnm.Print_Titles" vbProcedure="false">'PL trading'!$8:$8</definedName>
    <definedName function="false" hidden="false" localSheetId="7" name="_xlnm.Print_Titles" vbProcedure="false">'Stop sheet'!$4:$4</definedName>
    <definedName function="false" hidden="false" name="BuyerPaymentDays" vbProcedure="false">Inputs!$D$26</definedName>
    <definedName function="false" hidden="false" name="FixedCostPerMonth" vbProcedure="false">Inputs!$D$52</definedName>
    <definedName function="false" hidden="false" name="FixedStep" vbProcedure="false">Inputs!$D$33</definedName>
    <definedName function="false" hidden="false" name="FoundersDraw" vbProcedure="false">Inputs!$D$44</definedName>
    <definedName function="false" hidden="false" name="GradedWholesale_Hi" vbProcedure="false">Inputs!$E$12</definedName>
    <definedName function="false" hidden="false" name="GradedWholesale_Lo" vbProcedure="false">Inputs!$C$12</definedName>
    <definedName function="false" hidden="false" name="GradedWholesale_Mid" vbProcedure="false">Inputs!$D$12</definedName>
    <definedName function="false" hidden="false" name="GradingFee" vbProcedure="false">Inputs!$D$35</definedName>
    <definedName function="false" hidden="false" name="GSTServicesThreshold" vbProcedure="false">Inputs!$D$47</definedName>
    <definedName function="false" hidden="false" name="HubGross" vbProcedure="false">Inputs!$D$24</definedName>
    <definedName function="false" hidden="false" name="IntakeLoss" vbProcedure="false">Inputs!$D$36</definedName>
    <definedName function="false" hidden="false" name="LoanInterest" vbProcedure="false">Inputs!$D$43</definedName>
    <definedName function="false" hidden="false" name="LoanRate" vbProcedure="false">Inputs!$D$45</definedName>
    <definedName function="false" hidden="false" name="LotKg" vbProcedure="false">Inputs!$D$27</definedName>
    <definedName function="false" hidden="false" name="Maintenance" vbProcedure="false">Inputs!$D$42</definedName>
    <definedName function="false" hidden="false" name="MonthsInYear" vbProcedure="false">Inputs!$D$30</definedName>
    <definedName function="false" hidden="false" name="OffSeasonToll" vbProcedure="false">Inputs!$D$34</definedName>
    <definedName function="false" hidden="false" name="PaymentTargetHours" vbProcedure="false">Inputs!$D$25</definedName>
    <definedName function="false" hidden="false" name="RawKgPerMonth" vbProcedure="false">Inputs!$D$31</definedName>
    <definedName function="false" hidden="false" name="RawPrice_Hi" vbProcedure="false">Inputs!$E$7</definedName>
    <definedName function="false" hidden="false" name="RawPrice_Lo" vbProcedure="false">Inputs!$C$7</definedName>
    <definedName function="false" hidden="false" name="RawPrice_Mid" vbProcedure="false">Inputs!$D$7</definedName>
    <definedName function="false" hidden="false" name="RecoveryBasis" vbProcedure="false">Inputs!$D$28</definedName>
    <definedName function="false" hidden="false" name="Recovery_Hi" vbProcedure="false">Inputs!$E$8</definedName>
    <definedName function="false" hidden="false" name="Recovery_Lo" vbProcedure="false">Inputs!$C$8</definedName>
    <definedName function="false" hidden="false" name="Recovery_Mid" vbProcedure="false">Inputs!$D$8</definedName>
    <definedName function="false" hidden="false" name="Rent" vbProcedure="false">Inputs!$D$40</definedName>
    <definedName function="false" hidden="false" name="RetailLower_Hi" vbProcedure="false">Inputs!$E$10</definedName>
    <definedName function="false" hidden="false" name="RetailLower_Lo" vbProcedure="false">Inputs!$C$10</definedName>
    <definedName function="false" hidden="false" name="RetailPremium_Hi" vbProcedure="false">Inputs!$E$11</definedName>
    <definedName function="false" hidden="false" name="RetailPremium_Lo" vbProcedure="false">Inputs!$C$11</definedName>
    <definedName function="false" hidden="false" name="ScenarioChoice" vbProcedure="false">Scenarios!$B$3</definedName>
    <definedName function="false" hidden="false" name="SeasonMonths" vbProcedure="false">Inputs!$D$29</definedName>
    <definedName function="false" hidden="false" name="Sel_Raw" vbProcedure="false">Scenarios!$E$6</definedName>
    <definedName function="false" hidden="false" name="Sel_Recovery" vbProcedure="false">Scenarios!$E$7</definedName>
    <definedName function="false" hidden="false" name="Sel_Wholesale" vbProcedure="false">Scenarios!$E$8</definedName>
    <definedName function="false" hidden="false" name="StoreBenchmark" vbProcedure="false">Inputs!$D$20</definedName>
    <definedName function="false" hidden="false" name="StoreShare_Note" vbProcedure="false">Inputs!$D$21</definedName>
    <definedName function="false" hidden="false" name="StoreShare_Private" vbProcedure="false">Inputs!$D$22</definedName>
    <definedName function="false" hidden="false" name="StoreShare_Producer" vbProcedure="false">Inputs!$D$23</definedName>
    <definedName function="false" hidden="false" name="StudyPaybackMonths" vbProcedure="false">Inputs!$D$18</definedName>
    <definedName function="false" hidden="false" name="StudyWorkingCapital" vbProcedure="false">Inputs!$D$19</definedName>
    <definedName function="false" hidden="false" name="SubsidyMonths" vbProcedure="false">Inputs!$D$46</definedName>
    <definedName function="false" hidden="false" name="TollOpResultMonth" vbProcedure="false">'PL toll'!$B$26</definedName>
    <definedName function="false" hidden="false" name="TollPerKg" vbProcedure="false">Inputs!$D$16</definedName>
    <definedName function="false" hidden="false" name="UnitCapital" vbProcedure="false">Inputs!$D$17</definedName>
    <definedName function="false" hidden="false" name="VarBags" vbProcedure="false">Inputs!$D$39</definedName>
    <definedName function="false" hidden="false" name="VarCostPerKg" vbProcedure="false">Inputs!$D$51</definedName>
    <definedName function="false" hidden="false" name="VarLabour" vbProcedure="false">Inputs!$D$38</definedName>
    <definedName function="false" hidden="false" name="VarPower" vbProcedure="false">Inputs!$D$37</definedName>
    <definedName function="false" hidden="false" name="Wages" vbProcedure="false">Inputs!$D$41</definedName>
    <definedName function="false" hidden="false" name="Wholesale_Hi" vbProcedure="false">Inputs!$E$9</definedName>
    <definedName function="false" hidden="false" name="Wholesale_Lo" vbProcedure="false">Inputs!$C$9</definedName>
    <definedName function="false" hidden="false" name="Wholesale_Mid" vbProcedure="false">Inputs!$D$9</definedName>
    <definedName function="false" hidden="false" name="WorkedRawKg" vbProcedure="false">Inputs!$D$32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<sst xmlns="http://schemas.openxmlformats.org/spreadsheetml/2006/main" count="684" uniqueCount="393">
  <si>
    <t xml:space="preserve">Makhana stop sheet: Rekha's toll and trading shed (illustrative)</t>
  </si>
  <si>
    <t xml:space="preserve">This workbook is the fill-in version of Chapter 17 of The Missing Step. It belongs to an illustrative case: the founder, the village and the lot are invented.</t>
  </si>
  <si>
    <t xml:space="preserve">What it does: it takes the stated bands for raw price, recovery and wholesale price, the one study's toll and capital, and the store scheme shares, and computes the lot grid, a monthly P&amp;L in toll and trading modes, break-even, three scenarios and capital payback.</t>
  </si>
  <si>
    <t xml:space="preserve">What it does not do: it never fills a blank. Every cost, the season length, the raw seed per month, the grading fee and the buyer's payment days are blank. Cells that depend on a blank stay empty. The column headed WAITING FOR names the input that is missing.</t>
  </si>
  <si>
    <t xml:space="preserve">Standings</t>
  </si>
  <si>
    <t xml:space="preserve">[S] sourced: a published figure, here one ICAR-CIPHET study. [M] planning estimate: from the unpublished Bihar operating notes behind the book. [D] derived: arithmetic on the inputs, shown in the HOW column. [R] researched for this edition, with the item ID on the Sources sheet. [U] unverified. A bordered empty cell is a blank.</t>
  </si>
  <si>
    <t xml:space="preserve">Colours</t>
  </si>
  <si>
    <t xml:space="preserve">Light blue cells are assumptions of the illustration. Cobalt text on white is a sourced figure. Cobalt text on pale blue-grey is a planning estimate. Black on white is a formula. A bordered empty cell is yours to fill. Dark red text marks a negative result.</t>
  </si>
  <si>
    <t xml:space="preserve">How to use it</t>
  </si>
  <si>
    <t xml:space="preserve">1. Fill the bordered cells on the Inputs sheet with numbers you measured. Enter 0 where the true cost is zero: 0 is a measurement, an empty cell is not. 2. Choose Low, Mid or High on the Scenarios sheet. The book prints Mid. 3. Read the P&amp;L, Break-even and Scenarios sheets. 4. Compare the break-even with the raw kilograms per month you can name ponds for.</t>
  </si>
  <si>
    <t xml:space="preserve">Provenance</t>
  </si>
  <si>
    <t xml:space="preserve">No cell in this workbook contains a figure that is not in the book or in the Sources added in this edition. Figures last checked: 2026-10-19. Rules and rates change: re-check on the official page.</t>
  </si>
  <si>
    <t xml:space="preserve">Ceilings on a rate card are not receipts. The store scheme shares are ceilings, back-ended, and paid after the lender has paid.</t>
  </si>
  <si>
    <t xml:space="preserve">Tab 'Stop sheet' is the printable one-page stop sheet (Chapter 17.9): print it after you fill Inputs. It only reads other tabs.</t>
  </si>
  <si>
    <t xml:space="preserve">Inputs: Rekha's toll and trading shed (illustrative case, Madhubani district)</t>
  </si>
  <si>
    <t xml:space="preserve">Every input carries a standing. A blank stays blank: nothing in this workbook fills an unknown. Overwrite a bordered blank only with a number you measured.</t>
  </si>
  <si>
    <t xml:space="preserve">Standing tags: [S] sourced, [M] planning estimate, [D] derived, [R] researched for this edition, [U] unverified. Light blue cells are assumptions of the illustration. Bordered empty cells are blanks for you to measure.</t>
  </si>
  <si>
    <t xml:space="preserve">A. Banded inputs (low, mid, high end of each stated band)</t>
  </si>
  <si>
    <t xml:space="preserve">INPUT</t>
  </si>
  <si>
    <t xml:space="preserve">UNIT</t>
  </si>
  <si>
    <t xml:space="preserve">BAND LOW</t>
  </si>
  <si>
    <t xml:space="preserve">BAND MID</t>
  </si>
  <si>
    <t xml:space="preserve">BAND HIGH</t>
  </si>
  <si>
    <t xml:space="preserve">STANDING</t>
  </si>
  <si>
    <t xml:space="preserve">SOURCE</t>
  </si>
  <si>
    <t xml:space="preserve">NAMED CELLS</t>
  </si>
  <si>
    <t xml:space="preserve">Raw seed price</t>
  </si>
  <si>
    <t xml:space="preserve">Rs per kg raw</t>
  </si>
  <si>
    <t xml:space="preserve">[M]</t>
  </si>
  <si>
    <t xml:space="preserve">Orig p. 20; the operating note's band</t>
  </si>
  <si>
    <t xml:space="preserve">RawPrice_Lo (C7), RawPrice_Mid (D7), RawPrice_Hi (E7)</t>
  </si>
  <si>
    <t xml:space="preserve">Recovery: popped kilograms per 100 kg raw</t>
  </si>
  <si>
    <t xml:space="preserve">kg popped per 100 kg raw</t>
  </si>
  <si>
    <t xml:space="preserve">Recovery_Lo (C8), Recovery_Mid (D8), Recovery_Hi (E8)</t>
  </si>
  <si>
    <t xml:space="preserve">Ungraded popped wholesale price</t>
  </si>
  <si>
    <t xml:space="preserve">Rs per kg popped</t>
  </si>
  <si>
    <t xml:space="preserve">Orig p. 21; estimate in the operating note</t>
  </si>
  <si>
    <t xml:space="preserve">Wholesale_Lo (C9), Wholesale_Mid (D9), Wholesale_Hi (E9)</t>
  </si>
  <si>
    <t xml:space="preserve">Graded retail, lower kernel sizes (consumer end; not used in any formula)</t>
  </si>
  <si>
    <t xml:space="preserve">n/a</t>
  </si>
  <si>
    <t xml:space="preserve">Orig p. 21</t>
  </si>
  <si>
    <t xml:space="preserve">RetailLower_Lo (C10), RetailLower_Hi (E10)</t>
  </si>
  <si>
    <t xml:space="preserve">Graded retail, premium kernel sizes (consumer end; not used in any formula)</t>
  </si>
  <si>
    <t xml:space="preserve">RetailPremium_Lo (C11), RetailPremium_Hi (E11)</t>
  </si>
  <si>
    <t xml:space="preserve">Graded WHOLESALE price the shed would sell at (reserved; not used in any formula)</t>
  </si>
  <si>
    <t xml:space="preserve">The evidence has retail bands only. Fill from the buyer's written price list.</t>
  </si>
  <si>
    <t xml:space="preserve">GradedWholesale_Lo, GradedWholesale_Mid, GradedWholesale_Hi (C12, D12, E12)</t>
  </si>
  <si>
    <t xml:space="preserve">B. Single-value inputs</t>
  </si>
  <si>
    <t xml:space="preserve">VALUE</t>
  </si>
  <si>
    <t xml:space="preserve">NAMED CELL</t>
  </si>
  <si>
    <t xml:space="preserve">Toll premium for machine popping</t>
  </si>
  <si>
    <t xml:space="preserve">[S] one ICAR-CIPHET study</t>
  </si>
  <si>
    <t xml:space="preserve">Orig p. 21; ICAR news item (RP2-39): 'at least Rs 50 per kg more'</t>
  </si>
  <si>
    <t xml:space="preserve">TollPerKg (D16)</t>
  </si>
  <si>
    <t xml:space="preserve">Popping unit capital</t>
  </si>
  <si>
    <t xml:space="preserve">Rs</t>
  </si>
  <si>
    <t xml:space="preserve">[S] one study</t>
  </si>
  <si>
    <t xml:space="preserve">Orig p. 21 (Rs 15 lakh)</t>
  </si>
  <si>
    <t xml:space="preserve">UnitCapital (D17)</t>
  </si>
  <si>
    <t xml:space="preserve">Payback stated by the same study</t>
  </si>
  <si>
    <t xml:space="preserve">months</t>
  </si>
  <si>
    <t xml:space="preserve">Orig p. 21; ICAR page (RP6-25)</t>
  </si>
  <si>
    <t xml:space="preserve">StudyPaybackMonths (D18)</t>
  </si>
  <si>
    <t xml:space="preserve">Working capital a month, as stated on the ICAR page</t>
  </si>
  <si>
    <t xml:space="preserve">Rs per month</t>
  </si>
  <si>
    <t xml:space="preserve">[R]</t>
  </si>
  <si>
    <t xml:space="preserve">RP6-25: ICAR page 'Mechanizing Makhana Popping', undated, checked 2026-10-19</t>
  </si>
  <si>
    <t xml:space="preserve">StudyWorkingCapital (D19)</t>
  </si>
  <si>
    <t xml:space="preserve">Store benchmark (5-tonne store)</t>
  </si>
  <si>
    <t xml:space="preserve">Orig p. 22 (Rs 10 lakh)</t>
  </si>
  <si>
    <t xml:space="preserve">StoreBenchmark (D20)</t>
  </si>
  <si>
    <t xml:space="preserve">Store scheme share, as the operating note states it</t>
  </si>
  <si>
    <t xml:space="preserve">share of benchmark</t>
  </si>
  <si>
    <t xml:space="preserve">[U] one news report</t>
  </si>
  <si>
    <t xml:space="preserve">Orig p. 22; RP2-41 (News18, 14 Feb 2025), no official page confirms</t>
  </si>
  <si>
    <t xml:space="preserve">StoreShare_Note (D21)</t>
  </si>
  <si>
    <t xml:space="preserve">Store scheme share, central makhana scheme, private applicant (micro processing unit norm)</t>
  </si>
  <si>
    <t xml:space="preserve">RP8-09: National Makhana Board operational guideline, undated; back-ended, credit-linked</t>
  </si>
  <si>
    <t xml:space="preserve">StoreShare_Private (D22)</t>
  </si>
  <si>
    <t xml:space="preserve">Store scheme share, central makhana scheme, producer organisation</t>
  </si>
  <si>
    <t xml:space="preserve">RP8-09, same guideline</t>
  </si>
  <si>
    <t xml:space="preserve">StoreShare_Producer (D23)</t>
  </si>
  <si>
    <t xml:space="preserve">Hub equipment, gross (printed for reference; not used in any formula)</t>
  </si>
  <si>
    <t xml:space="preserve">Orig p. 21 (Rs 55.6 lakh); the note's full hub, not this sheet</t>
  </si>
  <si>
    <t xml:space="preserve">HubGross (D24)</t>
  </si>
  <si>
    <t xml:space="preserve">Payment target to the grower</t>
  </si>
  <si>
    <t xml:space="preserve">hours</t>
  </si>
  <si>
    <t xml:space="preserve">[M] target</t>
  </si>
  <si>
    <t xml:space="preserve">Orig pp. 20, 22; a design goal, not a result</t>
  </si>
  <si>
    <t xml:space="preserve">PaymentTargetHours (D25)</t>
  </si>
  <si>
    <t xml:space="preserve">Days the buyer takes to pay the shed</t>
  </si>
  <si>
    <t xml:space="preserve">days</t>
  </si>
  <si>
    <t xml:space="preserve">The buyer's written payment terms</t>
  </si>
  <si>
    <t xml:space="preserve">BuyerPaymentDays (D26)</t>
  </si>
  <si>
    <t xml:space="preserve">Lot size for the grids (illustration)</t>
  </si>
  <si>
    <t xml:space="preserve">kg raw</t>
  </si>
  <si>
    <t xml:space="preserve">assumed</t>
  </si>
  <si>
    <t xml:space="preserve">This case (Rekha, 2.3)</t>
  </si>
  <si>
    <t xml:space="preserve">LotKg (D27)</t>
  </si>
  <si>
    <t xml:space="preserve">Recovery basis (the 100 kg that recovery is quoted against)</t>
  </si>
  <si>
    <t xml:space="preserve">Orig p. 20</t>
  </si>
  <si>
    <t xml:space="preserve">RecoveryBasis (D28)</t>
  </si>
  <si>
    <t xml:space="preserve">Season months, N (months a year raw seed arrives at the shed)</t>
  </si>
  <si>
    <t xml:space="preserve">Research found harvest in July to August (RP2-36) but no popping season for a shed; her own pond slips</t>
  </si>
  <si>
    <t xml:space="preserve">SeasonMonths (D29)</t>
  </si>
  <si>
    <t xml:space="preserve">Months in a year</t>
  </si>
  <si>
    <t xml:space="preserve">calendar</t>
  </si>
  <si>
    <t xml:space="preserve">Calendar</t>
  </si>
  <si>
    <t xml:space="preserve">MonthsInYear (D30)</t>
  </si>
  <si>
    <t xml:space="preserve">Raw seed processed per season month</t>
  </si>
  <si>
    <t xml:space="preserve">Count of the ponds Rekha can name; the slips</t>
  </si>
  <si>
    <t xml:space="preserve">RawKgPerMonth (D31)</t>
  </si>
  <si>
    <t xml:space="preserve">Worked throughput: the one study's implied monthly raw seed (not a forecast)</t>
  </si>
  <si>
    <t xml:space="preserve">kg raw per month</t>
  </si>
  <si>
    <t xml:space="preserve">[D] assumed for illustration</t>
  </si>
  <si>
    <t xml:space="preserve">Rs 15 lakh / 6 months / Rs 50 / 0.37 = 13,513.5, rounded to 13,500 (2.3)</t>
  </si>
  <si>
    <t xml:space="preserve">WorkedRawKg (D32)</t>
  </si>
  <si>
    <t xml:space="preserve">Fixed-cost step for the rule of thumb</t>
  </si>
  <si>
    <t xml:space="preserve">Illustration in 17.5</t>
  </si>
  <si>
    <t xml:space="preserve">FixedStep (D33)</t>
  </si>
  <si>
    <t xml:space="preserve">Toll on an adjacent crop, per off-season month, NET of its own variable costs</t>
  </si>
  <si>
    <t xml:space="preserve">Rs per off-season month</t>
  </si>
  <si>
    <t xml:space="preserve">A signed toll rate for the second crop; orig p. 22</t>
  </si>
  <si>
    <t xml:space="preserve">OffSeasonToll (D34)</t>
  </si>
  <si>
    <t xml:space="preserve">Grading fee per kg popped (enter 0 if the toll covers grading)</t>
  </si>
  <si>
    <t xml:space="preserve">The original gives none; the buyer's written grade classes</t>
  </si>
  <si>
    <t xml:space="preserve">GradingFee (D35)</t>
  </si>
  <si>
    <t xml:space="preserve">Moisture and handling loss on intake (note field; no formula uses it)</t>
  </si>
  <si>
    <t xml:space="preserve">percent of weighed-in kg</t>
  </si>
  <si>
    <t xml:space="preserve">Recovery is measured on the weighed-in lot; if you measure a loss before popping, enter the kilograms AFTER the loss as raw seed processed</t>
  </si>
  <si>
    <t xml:space="preserve">IntakeLoss (D36)</t>
  </si>
  <si>
    <t xml:space="preserve">Power</t>
  </si>
  <si>
    <t xml:space="preserve">The month's power bill divided by kg popped that month</t>
  </si>
  <si>
    <t xml:space="preserve">VarPower (D37)</t>
  </si>
  <si>
    <t xml:space="preserve">Casual labour</t>
  </si>
  <si>
    <t xml:space="preserve">Wage slips divided by kg popped</t>
  </si>
  <si>
    <t xml:space="preserve">VarLabour (D38)</t>
  </si>
  <si>
    <t xml:space="preserve">Bags and packing</t>
  </si>
  <si>
    <t xml:space="preserve">Three supplier quotes</t>
  </si>
  <si>
    <t xml:space="preserve">VarBags (D39)</t>
  </si>
  <si>
    <t xml:space="preserve">Shed rent</t>
  </si>
  <si>
    <t xml:space="preserve">Rent receipt or written offer</t>
  </si>
  <si>
    <t xml:space="preserve">Rent (D40)</t>
  </si>
  <si>
    <t xml:space="preserve">Regular wages</t>
  </si>
  <si>
    <t xml:space="preserve">Wage register</t>
  </si>
  <si>
    <t xml:space="preserve">Wages (D41)</t>
  </si>
  <si>
    <t xml:space="preserve">Maintenance</t>
  </si>
  <si>
    <t xml:space="preserve">Machine supplier's service terms</t>
  </si>
  <si>
    <t xml:space="preserve">Maintenance (D42)</t>
  </si>
  <si>
    <t xml:space="preserve">Loan interest</t>
  </si>
  <si>
    <t xml:space="preserve">The lender's repayment schedule</t>
  </si>
  <si>
    <t xml:space="preserve">LoanInterest (D43)</t>
  </si>
  <si>
    <t xml:space="preserve">Founder's draw</t>
  </si>
  <si>
    <t xml:space="preserve">Her own number, written as a fixed cost (14.5)</t>
  </si>
  <si>
    <t xml:space="preserve">FoundersDraw (D44)</t>
  </si>
  <si>
    <t xml:space="preserve">Loan interest rate (note field; no formula uses it)</t>
  </si>
  <si>
    <t xml:space="preserve">percent a year</t>
  </si>
  <si>
    <t xml:space="preserve">The lender's sanction letter</t>
  </si>
  <si>
    <t xml:space="preserve">LoanRate (D45)</t>
  </si>
  <si>
    <t xml:space="preserve">Months from loan disbursal to subsidy payment (note field; no formula uses it)</t>
  </si>
  <si>
    <t xml:space="preserve">The lender's written note on the order of payment</t>
  </si>
  <si>
    <t xml:space="preserve">SubsidyMonths (D46)</t>
  </si>
  <si>
    <t xml:space="preserve">Services GST registration threshold, Bihar</t>
  </si>
  <si>
    <t xml:space="preserve">Rs a year</t>
  </si>
  <si>
    <t xml:space="preserve">RP1-19: PIB release PRID 1567975, 2019; confirm on the GST portal</t>
  </si>
  <si>
    <t xml:space="preserve">GSTServicesThreshold (D47)</t>
  </si>
  <si>
    <t xml:space="preserve">C. Derived from the inputs above (formulas; blank until every input they need is filled)</t>
  </si>
  <si>
    <t xml:space="preserve">DERIVED</t>
  </si>
  <si>
    <t xml:space="preserve">HOW</t>
  </si>
  <si>
    <t xml:space="preserve">Variable cost per kg popped (power + casual labour + bags; all three needed)</t>
  </si>
  <si>
    <t xml:space="preserve">[D]</t>
  </si>
  <si>
    <t xml:space="preserve">Blank unless all three are entered (0 counts as entered)</t>
  </si>
  <si>
    <t xml:space="preserve">Fixed cost per month (rent + wages + maintenance + loan interest + founder's draw; all five needed)</t>
  </si>
  <si>
    <t xml:space="preserve">Blank unless all five are entered</t>
  </si>
  <si>
    <t xml:space="preserve">Lot grid: one lot of LotKg raw seed, trading mode, before any cost</t>
  </si>
  <si>
    <t xml:space="preserve">Revenue is popped kg × ungraded wholesale. Result is revenue minus the seed bought. Toll mode needs no seed: see the Scenarios sheet.</t>
  </si>
  <si>
    <t xml:space="preserve">Revenue per lot (Rs)</t>
  </si>
  <si>
    <t xml:space="preserve">Popped kg per lot ↓   wholesale Rs per kg →</t>
  </si>
  <si>
    <t xml:space="preserve">[D of M]</t>
  </si>
  <si>
    <t xml:space="preserve">Seed cost per lot (Rs)</t>
  </si>
  <si>
    <t xml:space="preserve">Raw seed price, Rs per kg raw →</t>
  </si>
  <si>
    <t xml:space="preserve">Seed cost of one lot</t>
  </si>
  <si>
    <t xml:space="preserve">Result per lot, raw seed at the MID price (revenue − seed), Rs</t>
  </si>
  <si>
    <t xml:space="preserve">Band pairs at or below zero (of nine)</t>
  </si>
  <si>
    <t xml:space="preserve">Band pairs above zero (of nine)</t>
  </si>
  <si>
    <t xml:space="preserve">Result per lot, raw seed at the LOW price of the band, Rs</t>
  </si>
  <si>
    <t xml:space="preserve">Result per lot, raw seed at the HIGH price of the band, Rs</t>
  </si>
  <si>
    <t xml:space="preserve">Monthly P&amp;L, toll mode (per month; season total; year)</t>
  </si>
  <si>
    <t xml:space="preserve">Every cost is blank in the book, so every cell that depends on a cost stays empty. Calendar months of the season are blank. Figures at the scenario chosen on the Scenarios sheet (the book prints Mid).</t>
  </si>
  <si>
    <t xml:space="preserve">Scenario in use</t>
  </si>
  <si>
    <t xml:space="preserve">Season months, N</t>
  </si>
  <si>
    <t xml:space="preserve">blank until measured</t>
  </si>
  <si>
    <t xml:space="preserve">Off-season months, 12 − N</t>
  </si>
  <si>
    <t xml:space="preserve">LINE</t>
  </si>
  <si>
    <t xml:space="preserve">SEASON MONTH</t>
  </si>
  <si>
    <t xml:space="preserve">OFF-SEASON MONTH</t>
  </si>
  <si>
    <t xml:space="preserve">SEASON TOTAL</t>
  </si>
  <si>
    <t xml:space="preserve">YEAR</t>
  </si>
  <si>
    <t xml:space="preserve">WORKED: WorkedRawKg RAW, per season month</t>
  </si>
  <si>
    <t xml:space="preserve">WAITING FOR</t>
  </si>
  <si>
    <t xml:space="preserve">Raw seed processed (kg raw)</t>
  </si>
  <si>
    <t xml:space="preserve">input</t>
  </si>
  <si>
    <t xml:space="preserve">from the slips</t>
  </si>
  <si>
    <t xml:space="preserve">Popped kg = raw × recovery ÷ basis</t>
  </si>
  <si>
    <t xml:space="preserve">raw kg × recovery ÷ 100</t>
  </si>
  <si>
    <t xml:space="preserve">Toll revenue = popped kg × toll per kg</t>
  </si>
  <si>
    <t xml:space="preserve">[D of S × blank]</t>
  </si>
  <si>
    <t xml:space="preserve">popped kg × Rs 50</t>
  </si>
  <si>
    <t xml:space="preserve">Grading fee revenue (blank: the original gives none)</t>
  </si>
  <si>
    <t xml:space="preserve">[D of blank]</t>
  </si>
  <si>
    <t xml:space="preserve">popped kg × grading fee</t>
  </si>
  <si>
    <t xml:space="preserve">Toll on an adjacent crop (off-season, net of its own variable costs)</t>
  </si>
  <si>
    <t xml:space="preserve">enter the net toll per off-season month</t>
  </si>
  <si>
    <t xml:space="preserve">Total revenue (season: toll + grading; off-season: adjacent toll)</t>
  </si>
  <si>
    <t xml:space="preserve">Variable cost: power (kg popped × rate)</t>
  </si>
  <si>
    <t xml:space="preserve">popped kg × Rs per kg</t>
  </si>
  <si>
    <t xml:space="preserve">Variable cost: casual labour (kg popped × rate)</t>
  </si>
  <si>
    <t xml:space="preserve">Variable cost: bags and packing (kg popped × rate)</t>
  </si>
  <si>
    <t xml:space="preserve">Total variable costs</t>
  </si>
  <si>
    <t xml:space="preserve">off-season variable costs are inside the net adjacent-crop toll</t>
  </si>
  <si>
    <t xml:space="preserve">Contribution = total revenue − variable costs</t>
  </si>
  <si>
    <t xml:space="preserve">Fixed cost: shed rent</t>
  </si>
  <si>
    <t xml:space="preserve">runs in every month, season or not</t>
  </si>
  <si>
    <t xml:space="preserve">Fixed cost: regular wages</t>
  </si>
  <si>
    <t xml:space="preserve">Fixed cost: maintenance</t>
  </si>
  <si>
    <t xml:space="preserve">Fixed cost: loan interest</t>
  </si>
  <si>
    <t xml:space="preserve">Fixed cost: founder's draw</t>
  </si>
  <si>
    <t xml:space="preserve">Total fixed costs</t>
  </si>
  <si>
    <t xml:space="preserve">Operating result = contribution − fixed costs</t>
  </si>
  <si>
    <t xml:space="preserve">Cumulative operating result (season months first, then off-season; calendar months are blank)</t>
  </si>
  <si>
    <t xml:space="preserve">end of season; end of year</t>
  </si>
  <si>
    <t xml:space="preserve">Monthly P&amp;L, trading mode (per month; season total; year)</t>
  </si>
  <si>
    <t xml:space="preserve">Raw seed bought and processed (kg raw)</t>
  </si>
  <si>
    <t xml:space="preserve">Raw seed purchased = raw kg × raw price</t>
  </si>
  <si>
    <t xml:space="preserve">raw kg × raw price</t>
  </si>
  <si>
    <t xml:space="preserve">Sales = popped kg × ungraded wholesale price</t>
  </si>
  <si>
    <t xml:space="preserve">popped kg × wholesale</t>
  </si>
  <si>
    <t xml:space="preserve">Gross margin = sales − seed</t>
  </si>
  <si>
    <t xml:space="preserve">before any other cost</t>
  </si>
  <si>
    <t xml:space="preserve">Contribution = gross margin − variable costs</t>
  </si>
  <si>
    <t xml:space="preserve">Seed cash out in a season month, before the popped kernels are sold (Rs)</t>
  </si>
  <si>
    <t xml:space="preserve">That seed cash as a multiple of the working capital the ICAR page states (Rs 5 lakh a month)</t>
  </si>
  <si>
    <t xml:space="preserve">Break-even: named inputs, formulas in words and symbols</t>
  </si>
  <si>
    <t xml:space="preserve">A cell stays empty while an input it needs is blank. 'no break-even' is a result, not a blank: it means the margin per kilogram is zero or negative.</t>
  </si>
  <si>
    <t xml:space="preserve">1. Toll mode</t>
  </si>
  <si>
    <t xml:space="preserve">FORMULA</t>
  </si>
  <si>
    <t xml:space="preserve">Fixed costs per month (Fixed_costs_per_month)</t>
  </si>
  <si>
    <t xml:space="preserve">Inputs, derived</t>
  </si>
  <si>
    <t xml:space="preserve">Variable cost per kg popped (Variable_cost_per_kg_popped)</t>
  </si>
  <si>
    <t xml:space="preserve">Toll per kg popped (Toll_per_kg)</t>
  </si>
  <si>
    <t xml:space="preserve">[S]</t>
  </si>
  <si>
    <t xml:space="preserve">Inputs</t>
  </si>
  <si>
    <t xml:space="preserve">Grading fee per kg popped (blank until entered; 0 allowed)</t>
  </si>
  <si>
    <t xml:space="preserve">blank</t>
  </si>
  <si>
    <t xml:space="preserve">Margin per popped kg = Toll_per_kg + Grading_fee − Variable_cost_per_kg_popped</t>
  </si>
  <si>
    <t xml:space="preserve">BE_popped_kg_per_month = Fixed_costs_per_month ÷ margin</t>
  </si>
  <si>
    <t xml:space="preserve">BE_raw_kg = BE_popped_kg ÷ Recovery (selected scenario)</t>
  </si>
  <si>
    <t xml:space="preserve">Raw kg per month Rekha has measured</t>
  </si>
  <si>
    <t xml:space="preserve">Cushion = raw kg measured − BE_raw_kg</t>
  </si>
  <si>
    <t xml:space="preserve">negative means below break-even</t>
  </si>
  <si>
    <t xml:space="preserve">Popped kg needed per FixedStep of fixed cost, with zero variable cost (FixedStep ÷ Toll_per_kg)</t>
  </si>
  <si>
    <t xml:space="preserve">rule of thumb</t>
  </si>
  <si>
    <t xml:space="preserve">The same in raw kg (selected scenario)</t>
  </si>
  <si>
    <t xml:space="preserve">Most cost per month that the worked throughput can carry before Rekha earns anything (Rs)</t>
  </si>
  <si>
    <t xml:space="preserve">equals the toll in the worked column of PL toll</t>
  </si>
  <si>
    <t xml:space="preserve">2. Trading mode</t>
  </si>
  <si>
    <t xml:space="preserve">Fixed costs per month</t>
  </si>
  <si>
    <t xml:space="preserve">Recovery as a fraction (selected scenario)</t>
  </si>
  <si>
    <t xml:space="preserve">Wholesale price (selected scenario)</t>
  </si>
  <si>
    <t xml:space="preserve">Raw price (selected scenario)</t>
  </si>
  <si>
    <t xml:space="preserve">Variable cost per kg raw = variable cost per kg popped × recovery</t>
  </si>
  <si>
    <t xml:space="preserve">Margin per kg raw before variable costs = (Recovery × Wholesale_price) − Raw_price</t>
  </si>
  <si>
    <t xml:space="preserve">Margin per kg raw = (Recovery × Wholesale_price) − Raw_price − Variable_cost_per_kg_raw</t>
  </si>
  <si>
    <t xml:space="preserve">BE_raw_kg_per_month = Fixed_costs_per_month ÷ margin per kg raw</t>
  </si>
  <si>
    <t xml:space="preserve">Does a break-even exist at this scenario even with every cost at zero?</t>
  </si>
  <si>
    <t xml:space="preserve">Margin per kg raw before variable costs for all nine band pairs: (Recovery × Wholesale ÷ basis) − Raw price</t>
  </si>
  <si>
    <t xml:space="preserve">Raw seed at the LOW price of the band</t>
  </si>
  <si>
    <t xml:space="preserve">Recovery (kg per 100) ↓   wholesale Rs per kg →</t>
  </si>
  <si>
    <t xml:space="preserve">Band pairs with margin at or below zero (no break-even), of nine</t>
  </si>
  <si>
    <t xml:space="preserve">Raw seed at the MID price of the band</t>
  </si>
  <si>
    <t xml:space="preserve">Raw seed at the HIGH price of the band</t>
  </si>
  <si>
    <t xml:space="preserve">3. Capital payback, in season months</t>
  </si>
  <si>
    <t xml:space="preserve">NOTE 75%</t>
  </si>
  <si>
    <t xml:space="preserve">PRIVATE 35%</t>
  </si>
  <si>
    <t xml:space="preserve">PRODUCER 50%</t>
  </si>
  <si>
    <t xml:space="preserve">What the one study implies</t>
  </si>
  <si>
    <t xml:space="preserve">Premium a month implied by the study = UnitCapital ÷ StudyPaybackMonths (Rs)</t>
  </si>
  <si>
    <t xml:space="preserve">Popped kg a month implied = premium ÷ Toll_per_kg</t>
  </si>
  <si>
    <t xml:space="preserve">Raw kg a month implied = popped kg ÷ MID recovery</t>
  </si>
  <si>
    <t xml:space="preserve">the book rounds 13,513.5 to 13,500</t>
  </si>
  <si>
    <t xml:space="preserve">Capital to recover, by store scheme share</t>
  </si>
  <si>
    <t xml:space="preserve">Scheme share of the store benchmark</t>
  </si>
  <si>
    <t xml:space="preserve">[U] / [R] / [R]</t>
  </si>
  <si>
    <t xml:space="preserve">Scheme pays (Rs) = StoreBenchmark × share (back-ended: paid after the lender has paid)</t>
  </si>
  <si>
    <t xml:space="preserve">Rekha's own share of the store (Rs) = StoreBenchmark − scheme pays</t>
  </si>
  <si>
    <t xml:space="preserve">Smallest term loan the scheme will back (Rs): the subsidy cannot exceed the term-loan part</t>
  </si>
  <si>
    <t xml:space="preserve">guideline rule (RP8-09)</t>
  </si>
  <si>
    <t xml:space="preserve">Capital to recover (Rs) = UnitCapital + own share of the store</t>
  </si>
  <si>
    <t xml:space="preserve">Floor on payback in season months, every cost zero, at WorkedRawKg and the selected scenario (UnitCapital + own share ÷ worked toll)</t>
  </si>
  <si>
    <t xml:space="preserve">not a forecast</t>
  </si>
  <si>
    <t xml:space="preserve">Payback in season months at her measured operating result</t>
  </si>
  <si>
    <t xml:space="preserve">blank until every cost is entered</t>
  </si>
  <si>
    <t xml:space="preserve">4. Tax line</t>
  </si>
  <si>
    <t xml:space="preserve">Most services turnover before GST registration (Rs a year, Bihar)</t>
  </si>
  <si>
    <t xml:space="preserve">Season months at the worked toll before that turnover is passed = threshold ÷ worked toll</t>
  </si>
  <si>
    <t xml:space="preserve">only if the toll counts as a service: ask a GST practitioner</t>
  </si>
  <si>
    <t xml:space="preserve">Scenarios: three corners of the stated bands, per lot</t>
  </si>
  <si>
    <t xml:space="preserve">Low is the worst corner of the three bands, High the best corner. Costs are blank in all three. The selector drives the P&amp;L sheets.</t>
  </si>
  <si>
    <t xml:space="preserve">Scenario in use (choose Low, Mid or High)</t>
  </si>
  <si>
    <t xml:space="preserve">Mid</t>
  </si>
  <si>
    <t xml:space="preserve">PARAMETER</t>
  </si>
  <si>
    <t xml:space="preserve">Low</t>
  </si>
  <si>
    <t xml:space="preserve">High</t>
  </si>
  <si>
    <t xml:space="preserve">SELECTED</t>
  </si>
  <si>
    <t xml:space="preserve">Raw seed price (Rs per kg raw)</t>
  </si>
  <si>
    <t xml:space="preserve">Low scenario pays the top of the band</t>
  </si>
  <si>
    <t xml:space="preserve">Recovery (kg popped per 100 kg raw)</t>
  </si>
  <si>
    <t xml:space="preserve">Ungraded popped wholesale (Rs per kg popped)</t>
  </si>
  <si>
    <t xml:space="preserve">Per lot of LotKg raw seed</t>
  </si>
  <si>
    <t xml:space="preserve">Popped kg per lot</t>
  </si>
  <si>
    <t xml:space="preserve">lot kg × recovery ÷ basis</t>
  </si>
  <si>
    <t xml:space="preserve">Seed cost per lot (Rs), trading mode</t>
  </si>
  <si>
    <t xml:space="preserve">lot kg × raw price</t>
  </si>
  <si>
    <t xml:space="preserve">Sales per lot (Rs), trading mode</t>
  </si>
  <si>
    <t xml:space="preserve">Trading result per lot before any cost (Rs)</t>
  </si>
  <si>
    <t xml:space="preserve">sales − seed</t>
  </si>
  <si>
    <t xml:space="preserve">Toll revenue per lot (Rs), toll mode</t>
  </si>
  <si>
    <t xml:space="preserve">popped kg × toll</t>
  </si>
  <si>
    <t xml:space="preserve">Per season month and per season (blank until the raw kg per month and the season months are filled)</t>
  </si>
  <si>
    <t xml:space="preserve">Trading result per season month (Rs)</t>
  </si>
  <si>
    <t xml:space="preserve">[D of M × blank]</t>
  </si>
  <si>
    <t xml:space="preserve">lot result × raw kg per month ÷ lot kg</t>
  </si>
  <si>
    <t xml:space="preserve">Toll revenue per season month (Rs)</t>
  </si>
  <si>
    <t xml:space="preserve">Trading result per season (Rs)</t>
  </si>
  <si>
    <t xml:space="preserve">[D of M × blanks]</t>
  </si>
  <si>
    <t xml:space="preserve">per season month × N</t>
  </si>
  <si>
    <t xml:space="preserve">Toll revenue per season (Rs)</t>
  </si>
  <si>
    <t xml:space="preserve">[D of S × blanks]</t>
  </si>
  <si>
    <t xml:space="preserve">Worked: raw seed per month = WorkedRawKg (the one study's implied throughput, a labelled illustration, not a forecast; every cost still blank)</t>
  </si>
  <si>
    <t xml:space="preserve">Trading result per month (Rs)</t>
  </si>
  <si>
    <t xml:space="preserve">lot result × 13,500 ÷ 100</t>
  </si>
  <si>
    <t xml:space="preserve">Toll revenue per month (Rs)</t>
  </si>
  <si>
    <t xml:space="preserve">lot toll × 13,500 ÷ 100</t>
  </si>
  <si>
    <t xml:space="preserve">Result per lot at the selected raw price: recovery (rows) by wholesale (columns). Same grid as the Lot grid sheet, driven by the selector.</t>
  </si>
  <si>
    <t xml:space="preserve">Stop sheet: Rekha's toll shed (illustrative case)</t>
  </si>
  <si>
    <t xml:space="preserve">Printable. Every line below is a live formula on the other tabs. A blank input shows as '— input needed'; nothing is filled for you.</t>
  </si>
  <si>
    <t xml:space="preserve">FIELD</t>
  </si>
  <si>
    <t xml:space="preserve">WHAT THE SHEET SAYS NOW</t>
  </si>
  <si>
    <t xml:space="preserve">The business</t>
  </si>
  <si>
    <t xml:space="preserve">The buyer</t>
  </si>
  <si>
    <t xml:space="preserve">The planning number</t>
  </si>
  <si>
    <t xml:space="preserve">The month the asset sits idle</t>
  </si>
  <si>
    <t xml:space="preserve">Raw kg per season month, from slips</t>
  </si>
  <si>
    <t xml:space="preserve">measured by you</t>
  </si>
  <si>
    <t xml:space="preserve">Break-even raw kg per month, from her own fixed costs</t>
  </si>
  <si>
    <t xml:space="preserve">[D] from your inputs</t>
  </si>
  <si>
    <t xml:space="preserve">The number that stops you</t>
  </si>
  <si>
    <t xml:space="preserve">Trading stop line (selected scenario, per 100 kg raw)</t>
  </si>
  <si>
    <t xml:space="preserve">The second business, forbidden until the gate opens</t>
  </si>
  <si>
    <t xml:space="preserve">Leave the cells on Inputs that you have not measured empty. This sheet will say so.</t>
  </si>
  <si>
    <t xml:space="preserve">Sources</t>
  </si>
  <si>
    <t xml:space="preserve">ID</t>
  </si>
  <si>
    <t xml:space="preserve">ITEM</t>
  </si>
  <si>
    <t xml:space="preserve">CHECKED</t>
  </si>
  <si>
    <t xml:space="preserve">Raw seed price band; recovery band</t>
  </si>
  <si>
    <t xml:space="preserve">The Missing Step, original edition, p. 20 (the operating note's planning estimate)</t>
  </si>
  <si>
    <t xml:space="preserve">Ungraded wholesale band; graded retail bands; toll premium; unit capital; payback; hub equipment</t>
  </si>
  <si>
    <t xml:space="preserve">[M] / [S]</t>
  </si>
  <si>
    <t xml:space="preserve">The Missing Step, original edition, p. 21; the premium, capital and payback are one ICAR-CIPHET study</t>
  </si>
  <si>
    <t xml:space="preserve">Orig p. 22</t>
  </si>
  <si>
    <t xml:space="preserve">Store benchmark and 75 percent share; 72-hour target</t>
  </si>
  <si>
    <t xml:space="preserve">[M] / [U]</t>
  </si>
  <si>
    <t xml:space="preserve">The Missing Step, original edition, p. 22</t>
  </si>
  <si>
    <t xml:space="preserve">RP2-39</t>
  </si>
  <si>
    <t xml:space="preserve">Machine premium of at least Rs 50 per kg</t>
  </si>
  <si>
    <t xml:space="preserve">ICAR news item, 3 Dec 2013, icar.org.in/en/node/9014</t>
  </si>
  <si>
    <t xml:space="preserve">2026-10-19</t>
  </si>
  <si>
    <t xml:space="preserve">RP2-41</t>
  </si>
  <si>
    <t xml:space="preserve">75 percent of a Rs 10 lakh makhana store</t>
  </si>
  <si>
    <t xml:space="preserve">[U]</t>
  </si>
  <si>
    <t xml:space="preserve">News18, 14 Feb 2025, quoting a district horticulture officer; no official page confirms</t>
  </si>
  <si>
    <t xml:space="preserve">RP2-36</t>
  </si>
  <si>
    <t xml:space="preserve">Harvest July to August; no shed popping season found</t>
  </si>
  <si>
    <t xml:space="preserve">Bihar Horticulture Directorate makhana document, 2025</t>
  </si>
  <si>
    <t xml:space="preserve">RP6-25</t>
  </si>
  <si>
    <t xml:space="preserve">Working capital of about Rs 5 lakh a month beside the Rs 15 lakh unit</t>
  </si>
  <si>
    <t xml:space="preserve">ICAR, Mechanizing Makhana Popping, undated page</t>
  </si>
  <si>
    <t xml:space="preserve">RP8-09</t>
  </si>
  <si>
    <t xml:space="preserve">Store and micro processing unit: 35 percent private, 50 percent producer organisation, back-ended, credit-linked, subsidy not above the term-loan part</t>
  </si>
  <si>
    <t xml:space="preserve">Central Sector Scheme for Development of Makhana, operational guideline, National Makhana Board, undated, refers to the notification of 14 Sep 2025</t>
  </si>
  <si>
    <t xml:space="preserve">RP1-19</t>
  </si>
  <si>
    <t xml:space="preserve">Services GST registration threshold Rs 20 lakh, Bihar</t>
  </si>
  <si>
    <t xml:space="preserve">PIB release PRID 1567975, GST Council decisions, 2019; confirm on the GST portal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</si>
</sst>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-#,##0"/>
    <numFmt numFmtId="166" formatCode="0%"/>
    <numFmt numFmtId="167" formatCode="0.0"/>
    <numFmt numFmtId="168" formatCode="#,##0.0;\-#,##0.0"/>
    <numFmt numFmtId="169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9A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1F4E9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4E9A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i val="true"/>
      <sz val="10"/>
      <color rgb="FF1F4E9A"/>
      <name val="Arial"/>
      <family val="0"/>
      <charset val="1"/>
    </font>
    <font>
      <sz val="10"/>
      <color rgb="FF1B1B1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9A"/>
        <bgColor rgb="FF0066CC"/>
      </patternFill>
    </fill>
    <fill>
      <patternFill patternType="solid">
        <fgColor rgb="FFE8EEF6"/>
        <bgColor rgb="FFDCE9F7"/>
      </patternFill>
    </fill>
    <fill>
      <patternFill patternType="solid">
        <fgColor rgb="FFDCE9F7"/>
        <bgColor rgb="FFE8EEF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F4E9A"/>
      </bottom>
      <diagonal/>
    </border>
    <border diagonalUp="false" diagonalDown="false">
      <left style="thin">
        <color rgb="FF1F4E9A"/>
      </left>
      <right style="thin">
        <color rgb="FF1F4E9A"/>
      </right>
      <top style="thin">
        <color rgb="FF1F4E9A"/>
      </top>
      <bottom style="thin">
        <color rgb="FF1F4E9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1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8B2E2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8B2E2A"/>
      <rgbColor rgb="FF993366"/>
      <rgbColor rgb="FF1F4E9A"/>
      <rgbColor rgb="FF1B1B1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</row>
    <row r="3" customFormat="false" ht="23.85" hidden="false" customHeight="false" outlineLevel="0" collapsed="false">
      <c r="A3" s="2" t="s">
        <v>2</v>
      </c>
    </row>
    <row r="4" customFormat="false" ht="23.85" hidden="false" customHeight="false" outlineLevel="0" collapsed="false">
      <c r="A4" s="2" t="s">
        <v>3</v>
      </c>
    </row>
    <row r="5" customFormat="false" ht="15" hidden="false" customHeight="false" outlineLevel="0" collapsed="false">
      <c r="A5" s="3" t="s">
        <v>4</v>
      </c>
    </row>
    <row r="6" customFormat="false" ht="35.05" hidden="false" customHeight="false" outlineLevel="0" collapsed="false">
      <c r="A6" s="2" t="s">
        <v>5</v>
      </c>
    </row>
    <row r="7" customFormat="false" ht="15" hidden="false" customHeight="false" outlineLevel="0" collapsed="false">
      <c r="A7" s="3" t="s">
        <v>6</v>
      </c>
    </row>
    <row r="8" customFormat="false" ht="23.85" hidden="false" customHeight="false" outlineLevel="0" collapsed="false">
      <c r="A8" s="2" t="s">
        <v>7</v>
      </c>
    </row>
    <row r="9" customFormat="false" ht="15" hidden="false" customHeight="false" outlineLevel="0" collapsed="false">
      <c r="A9" s="3" t="s">
        <v>8</v>
      </c>
    </row>
    <row r="10" customFormat="false" ht="35.05" hidden="false" customHeight="false" outlineLevel="0" collapsed="false">
      <c r="A10" s="2" t="s">
        <v>9</v>
      </c>
    </row>
    <row r="11" customFormat="false" ht="15" hidden="false" customHeight="false" outlineLevel="0" collapsed="false">
      <c r="A11" s="3" t="s">
        <v>10</v>
      </c>
    </row>
    <row r="12" customFormat="false" ht="23.85" hidden="false" customHeight="false" outlineLevel="0" collapsed="false">
      <c r="A12" s="2" t="s">
        <v>11</v>
      </c>
    </row>
    <row r="13" customFormat="false" ht="15" hidden="false" customHeight="false" outlineLevel="0" collapsed="false">
      <c r="A13" s="2" t="s">
        <v>12</v>
      </c>
    </row>
    <row r="15" customFormat="false" ht="15" hidden="false" customHeight="false" outlineLevel="0" collapsed="false">
      <c r="A15" s="2" t="s">
        <v>13</v>
      </c>
    </row>
  </sheetData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9A"/>
    <pageSetUpPr fitToPage="true"/>
  </sheetPr>
  <dimension ref="A1:H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26"/>
    <col collapsed="false" customWidth="true" hidden="false" outlineLevel="0" max="7" min="7" style="0" width="58"/>
    <col collapsed="false" customWidth="true" hidden="false" outlineLevel="0" max="8" min="8" style="0" width="44"/>
  </cols>
  <sheetData>
    <row r="1" customFormat="false" ht="32.8" hidden="false" customHeight="false" outlineLevel="0" collapsed="false">
      <c r="A1" s="1" t="s">
        <v>14</v>
      </c>
    </row>
    <row r="2" customFormat="false" ht="35.05" hidden="false" customHeight="false" outlineLevel="0" collapsed="false">
      <c r="A2" s="2" t="s">
        <v>15</v>
      </c>
    </row>
    <row r="3" customFormat="false" ht="46.25" hidden="false" customHeight="false" outlineLevel="0" collapsed="false">
      <c r="A3" s="2" t="s">
        <v>16</v>
      </c>
    </row>
    <row r="5" customFormat="false" ht="15" hidden="false" customHeight="false" outlineLevel="0" collapsed="false">
      <c r="A5" s="3" t="s">
        <v>17</v>
      </c>
    </row>
    <row r="6" customFormat="false" ht="15" hidden="false" customHeight="false" outlineLevel="0" collapsed="false">
      <c r="A6" s="4" t="s">
        <v>18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25</v>
      </c>
    </row>
    <row r="7" customFormat="false" ht="23.85" hidden="false" customHeight="false" outlineLevel="0" collapsed="false">
      <c r="A7" s="2" t="s">
        <v>26</v>
      </c>
      <c r="B7" s="2" t="s">
        <v>27</v>
      </c>
      <c r="C7" s="5" t="n">
        <v>150</v>
      </c>
      <c r="D7" s="5" t="n">
        <v>200</v>
      </c>
      <c r="E7" s="5" t="n">
        <v>250</v>
      </c>
      <c r="F7" s="2" t="s">
        <v>28</v>
      </c>
      <c r="G7" s="2" t="s">
        <v>29</v>
      </c>
      <c r="H7" s="2" t="s">
        <v>30</v>
      </c>
    </row>
    <row r="8" customFormat="false" ht="23.85" hidden="false" customHeight="false" outlineLevel="0" collapsed="false">
      <c r="A8" s="2" t="s">
        <v>31</v>
      </c>
      <c r="B8" s="2" t="s">
        <v>32</v>
      </c>
      <c r="C8" s="5" t="n">
        <v>35</v>
      </c>
      <c r="D8" s="5" t="n">
        <v>37</v>
      </c>
      <c r="E8" s="5" t="n">
        <v>40</v>
      </c>
      <c r="F8" s="2" t="s">
        <v>28</v>
      </c>
      <c r="G8" s="2" t="s">
        <v>29</v>
      </c>
      <c r="H8" s="2" t="s">
        <v>33</v>
      </c>
    </row>
    <row r="9" customFormat="false" ht="23.85" hidden="false" customHeight="false" outlineLevel="0" collapsed="false">
      <c r="A9" s="2" t="s">
        <v>34</v>
      </c>
      <c r="B9" s="2" t="s">
        <v>35</v>
      </c>
      <c r="C9" s="5" t="n">
        <v>400</v>
      </c>
      <c r="D9" s="5" t="n">
        <v>500</v>
      </c>
      <c r="E9" s="5" t="n">
        <v>600</v>
      </c>
      <c r="F9" s="2" t="s">
        <v>28</v>
      </c>
      <c r="G9" s="2" t="s">
        <v>36</v>
      </c>
      <c r="H9" s="2" t="s">
        <v>37</v>
      </c>
    </row>
    <row r="10" customFormat="false" ht="23.85" hidden="false" customHeight="false" outlineLevel="0" collapsed="false">
      <c r="A10" s="2" t="s">
        <v>38</v>
      </c>
      <c r="B10" s="2" t="s">
        <v>35</v>
      </c>
      <c r="C10" s="5" t="n">
        <v>700</v>
      </c>
      <c r="D10" s="6" t="s">
        <v>39</v>
      </c>
      <c r="E10" s="5" t="n">
        <v>900</v>
      </c>
      <c r="F10" s="2" t="s">
        <v>28</v>
      </c>
      <c r="G10" s="2" t="s">
        <v>40</v>
      </c>
      <c r="H10" s="2" t="s">
        <v>41</v>
      </c>
    </row>
    <row r="11" customFormat="false" ht="23.85" hidden="false" customHeight="false" outlineLevel="0" collapsed="false">
      <c r="A11" s="2" t="s">
        <v>42</v>
      </c>
      <c r="B11" s="2" t="s">
        <v>35</v>
      </c>
      <c r="C11" s="5" t="n">
        <v>1200</v>
      </c>
      <c r="D11" s="6" t="s">
        <v>39</v>
      </c>
      <c r="E11" s="5" t="n">
        <v>1700</v>
      </c>
      <c r="F11" s="2" t="s">
        <v>28</v>
      </c>
      <c r="G11" s="2" t="s">
        <v>40</v>
      </c>
      <c r="H11" s="2" t="s">
        <v>43</v>
      </c>
    </row>
    <row r="12" customFormat="false" ht="23.85" hidden="false" customHeight="false" outlineLevel="0" collapsed="false">
      <c r="A12" s="2" t="s">
        <v>44</v>
      </c>
      <c r="B12" s="2" t="s">
        <v>35</v>
      </c>
      <c r="C12" s="7"/>
      <c r="D12" s="7"/>
      <c r="E12" s="7"/>
      <c r="F12" s="6" t="str">
        <f aca="false">IF(AND(ISBLANK(C12),ISBLANK(D12),ISBLANK(E12)),"— input needed","measured by you (not in the book)")</f>
        <v>— input needed</v>
      </c>
      <c r="G12" s="2" t="s">
        <v>45</v>
      </c>
      <c r="H12" s="2" t="s">
        <v>46</v>
      </c>
    </row>
    <row r="14" customFormat="false" ht="15" hidden="false" customHeight="false" outlineLevel="0" collapsed="false">
      <c r="A14" s="3" t="s">
        <v>47</v>
      </c>
    </row>
    <row r="15" customFormat="false" ht="15" hidden="false" customHeight="false" outlineLevel="0" collapsed="false">
      <c r="A15" s="4" t="s">
        <v>18</v>
      </c>
      <c r="B15" s="4" t="s">
        <v>19</v>
      </c>
      <c r="C15" s="4"/>
      <c r="D15" s="4" t="s">
        <v>48</v>
      </c>
      <c r="E15" s="4"/>
      <c r="F15" s="4" t="s">
        <v>23</v>
      </c>
      <c r="G15" s="4" t="s">
        <v>24</v>
      </c>
      <c r="H15" s="4" t="s">
        <v>49</v>
      </c>
    </row>
    <row r="16" customFormat="false" ht="15" hidden="false" customHeight="false" outlineLevel="0" collapsed="false">
      <c r="A16" s="2" t="s">
        <v>50</v>
      </c>
      <c r="B16" s="2" t="s">
        <v>35</v>
      </c>
      <c r="D16" s="8" t="n">
        <v>50</v>
      </c>
      <c r="F16" s="2" t="s">
        <v>51</v>
      </c>
      <c r="G16" s="2" t="s">
        <v>52</v>
      </c>
      <c r="H16" s="2" t="s">
        <v>53</v>
      </c>
    </row>
    <row r="17" customFormat="false" ht="15" hidden="false" customHeight="false" outlineLevel="0" collapsed="false">
      <c r="A17" s="2" t="s">
        <v>54</v>
      </c>
      <c r="B17" s="2" t="s">
        <v>55</v>
      </c>
      <c r="D17" s="8" t="n">
        <v>1500000</v>
      </c>
      <c r="F17" s="2" t="s">
        <v>56</v>
      </c>
      <c r="G17" s="2" t="s">
        <v>57</v>
      </c>
      <c r="H17" s="2" t="s">
        <v>58</v>
      </c>
    </row>
    <row r="18" customFormat="false" ht="15" hidden="false" customHeight="false" outlineLevel="0" collapsed="false">
      <c r="A18" s="2" t="s">
        <v>59</v>
      </c>
      <c r="B18" s="2" t="s">
        <v>60</v>
      </c>
      <c r="D18" s="8" t="n">
        <v>6</v>
      </c>
      <c r="F18" s="2" t="s">
        <v>56</v>
      </c>
      <c r="G18" s="2" t="s">
        <v>61</v>
      </c>
      <c r="H18" s="2" t="s">
        <v>62</v>
      </c>
    </row>
    <row r="19" customFormat="false" ht="23.85" hidden="false" customHeight="false" outlineLevel="0" collapsed="false">
      <c r="A19" s="2" t="s">
        <v>63</v>
      </c>
      <c r="B19" s="2" t="s">
        <v>64</v>
      </c>
      <c r="D19" s="8" t="n">
        <v>500000</v>
      </c>
      <c r="F19" s="2" t="s">
        <v>65</v>
      </c>
      <c r="G19" s="2" t="s">
        <v>66</v>
      </c>
      <c r="H19" s="2" t="s">
        <v>67</v>
      </c>
    </row>
    <row r="20" customFormat="false" ht="15" hidden="false" customHeight="false" outlineLevel="0" collapsed="false">
      <c r="A20" s="2" t="s">
        <v>68</v>
      </c>
      <c r="B20" s="2" t="s">
        <v>55</v>
      </c>
      <c r="D20" s="5" t="n">
        <v>1000000</v>
      </c>
      <c r="F20" s="2" t="s">
        <v>28</v>
      </c>
      <c r="G20" s="2" t="s">
        <v>69</v>
      </c>
      <c r="H20" s="2" t="s">
        <v>70</v>
      </c>
    </row>
    <row r="21" customFormat="false" ht="15" hidden="false" customHeight="false" outlineLevel="0" collapsed="false">
      <c r="A21" s="2" t="s">
        <v>71</v>
      </c>
      <c r="B21" s="2" t="s">
        <v>72</v>
      </c>
      <c r="D21" s="9" t="n">
        <v>0.75</v>
      </c>
      <c r="F21" s="2" t="s">
        <v>73</v>
      </c>
      <c r="G21" s="2" t="s">
        <v>74</v>
      </c>
      <c r="H21" s="2" t="s">
        <v>75</v>
      </c>
    </row>
    <row r="22" customFormat="false" ht="23.85" hidden="false" customHeight="false" outlineLevel="0" collapsed="false">
      <c r="A22" s="2" t="s">
        <v>76</v>
      </c>
      <c r="B22" s="2" t="s">
        <v>72</v>
      </c>
      <c r="D22" s="10" t="n">
        <v>0.35</v>
      </c>
      <c r="F22" s="2" t="s">
        <v>65</v>
      </c>
      <c r="G22" s="2" t="s">
        <v>77</v>
      </c>
      <c r="H22" s="2" t="s">
        <v>78</v>
      </c>
    </row>
    <row r="23" customFormat="false" ht="23.85" hidden="false" customHeight="false" outlineLevel="0" collapsed="false">
      <c r="A23" s="2" t="s">
        <v>79</v>
      </c>
      <c r="B23" s="2" t="s">
        <v>72</v>
      </c>
      <c r="D23" s="10" t="n">
        <v>0.5</v>
      </c>
      <c r="F23" s="2" t="s">
        <v>65</v>
      </c>
      <c r="G23" s="2" t="s">
        <v>80</v>
      </c>
      <c r="H23" s="2" t="s">
        <v>81</v>
      </c>
    </row>
    <row r="24" customFormat="false" ht="23.85" hidden="false" customHeight="false" outlineLevel="0" collapsed="false">
      <c r="A24" s="2" t="s">
        <v>82</v>
      </c>
      <c r="B24" s="2" t="s">
        <v>55</v>
      </c>
      <c r="D24" s="5" t="n">
        <v>5560000</v>
      </c>
      <c r="F24" s="2" t="s">
        <v>28</v>
      </c>
      <c r="G24" s="2" t="s">
        <v>83</v>
      </c>
      <c r="H24" s="2" t="s">
        <v>84</v>
      </c>
    </row>
    <row r="25" customFormat="false" ht="15" hidden="false" customHeight="false" outlineLevel="0" collapsed="false">
      <c r="A25" s="2" t="s">
        <v>85</v>
      </c>
      <c r="B25" s="2" t="s">
        <v>86</v>
      </c>
      <c r="D25" s="5" t="n">
        <v>72</v>
      </c>
      <c r="F25" s="2" t="s">
        <v>87</v>
      </c>
      <c r="G25" s="2" t="s">
        <v>88</v>
      </c>
      <c r="H25" s="2" t="s">
        <v>89</v>
      </c>
    </row>
    <row r="26" customFormat="false" ht="15" hidden="false" customHeight="false" outlineLevel="0" collapsed="false">
      <c r="A26" s="2" t="s">
        <v>90</v>
      </c>
      <c r="B26" s="2" t="s">
        <v>91</v>
      </c>
      <c r="D26" s="7"/>
      <c r="F26" s="6" t="str">
        <f aca="false">IF(ISBLANK(D26),"— input needed","measured by you (not in the book)")</f>
        <v>— input needed</v>
      </c>
      <c r="G26" s="2" t="s">
        <v>92</v>
      </c>
      <c r="H26" s="2" t="s">
        <v>93</v>
      </c>
    </row>
    <row r="27" customFormat="false" ht="15" hidden="false" customHeight="false" outlineLevel="0" collapsed="false">
      <c r="A27" s="2" t="s">
        <v>94</v>
      </c>
      <c r="B27" s="2" t="s">
        <v>95</v>
      </c>
      <c r="D27" s="11" t="n">
        <v>100</v>
      </c>
      <c r="F27" s="2" t="s">
        <v>96</v>
      </c>
      <c r="G27" s="2" t="s">
        <v>97</v>
      </c>
      <c r="H27" s="2" t="s">
        <v>98</v>
      </c>
    </row>
    <row r="28" customFormat="false" ht="15" hidden="false" customHeight="false" outlineLevel="0" collapsed="false">
      <c r="A28" s="2" t="s">
        <v>99</v>
      </c>
      <c r="B28" s="2" t="s">
        <v>95</v>
      </c>
      <c r="D28" s="5" t="n">
        <v>100</v>
      </c>
      <c r="F28" s="2" t="s">
        <v>28</v>
      </c>
      <c r="G28" s="2" t="s">
        <v>100</v>
      </c>
      <c r="H28" s="2" t="s">
        <v>101</v>
      </c>
    </row>
    <row r="29" customFormat="false" ht="23.85" hidden="false" customHeight="false" outlineLevel="0" collapsed="false">
      <c r="A29" s="2" t="s">
        <v>102</v>
      </c>
      <c r="B29" s="2" t="s">
        <v>60</v>
      </c>
      <c r="D29" s="7"/>
      <c r="F29" s="6" t="str">
        <f aca="false">IF(ISBLANK(D29),"— input needed","measured by you (not in the book)")</f>
        <v>— input needed</v>
      </c>
      <c r="G29" s="2" t="s">
        <v>103</v>
      </c>
      <c r="H29" s="2" t="s">
        <v>104</v>
      </c>
    </row>
    <row r="30" customFormat="false" ht="15" hidden="false" customHeight="false" outlineLevel="0" collapsed="false">
      <c r="A30" s="2" t="s">
        <v>105</v>
      </c>
      <c r="B30" s="2" t="s">
        <v>60</v>
      </c>
      <c r="D30" s="8" t="n">
        <v>12</v>
      </c>
      <c r="F30" s="2" t="s">
        <v>106</v>
      </c>
      <c r="G30" s="2" t="s">
        <v>107</v>
      </c>
      <c r="H30" s="2" t="s">
        <v>108</v>
      </c>
    </row>
    <row r="31" customFormat="false" ht="15" hidden="false" customHeight="false" outlineLevel="0" collapsed="false">
      <c r="A31" s="2" t="s">
        <v>109</v>
      </c>
      <c r="B31" s="2" t="s">
        <v>95</v>
      </c>
      <c r="D31" s="7"/>
      <c r="F31" s="6" t="str">
        <f aca="false">IF(ISBLANK(D31),"— input needed","measured by you (not in the book)")</f>
        <v>— input needed</v>
      </c>
      <c r="G31" s="2" t="s">
        <v>110</v>
      </c>
      <c r="H31" s="2" t="s">
        <v>111</v>
      </c>
    </row>
    <row r="32" customFormat="false" ht="23.85" hidden="false" customHeight="false" outlineLevel="0" collapsed="false">
      <c r="A32" s="2" t="s">
        <v>112</v>
      </c>
      <c r="B32" s="2" t="s">
        <v>113</v>
      </c>
      <c r="D32" s="11" t="n">
        <v>13500</v>
      </c>
      <c r="F32" s="2" t="s">
        <v>114</v>
      </c>
      <c r="G32" s="2" t="s">
        <v>115</v>
      </c>
      <c r="H32" s="2" t="s">
        <v>116</v>
      </c>
    </row>
    <row r="33" customFormat="false" ht="15" hidden="false" customHeight="false" outlineLevel="0" collapsed="false">
      <c r="A33" s="2" t="s">
        <v>117</v>
      </c>
      <c r="B33" s="2" t="s">
        <v>64</v>
      </c>
      <c r="D33" s="11" t="n">
        <v>1000</v>
      </c>
      <c r="F33" s="2" t="s">
        <v>96</v>
      </c>
      <c r="G33" s="2" t="s">
        <v>118</v>
      </c>
      <c r="H33" s="2" t="s">
        <v>119</v>
      </c>
    </row>
    <row r="34" customFormat="false" ht="23.85" hidden="false" customHeight="false" outlineLevel="0" collapsed="false">
      <c r="A34" s="2" t="s">
        <v>120</v>
      </c>
      <c r="B34" s="2" t="s">
        <v>121</v>
      </c>
      <c r="D34" s="7"/>
      <c r="F34" s="6" t="str">
        <f aca="false">IF(ISBLANK(D34),"— input needed","measured by you (not in the book)")</f>
        <v>— input needed</v>
      </c>
      <c r="G34" s="2" t="s">
        <v>122</v>
      </c>
      <c r="H34" s="2" t="s">
        <v>123</v>
      </c>
    </row>
    <row r="35" customFormat="false" ht="15" hidden="false" customHeight="false" outlineLevel="0" collapsed="false">
      <c r="A35" s="2" t="s">
        <v>124</v>
      </c>
      <c r="B35" s="2" t="s">
        <v>35</v>
      </c>
      <c r="D35" s="7"/>
      <c r="F35" s="6" t="str">
        <f aca="false">IF(ISBLANK(D35),"— input needed","measured by you (not in the book)")</f>
        <v>— input needed</v>
      </c>
      <c r="G35" s="2" t="s">
        <v>125</v>
      </c>
      <c r="H35" s="2" t="s">
        <v>126</v>
      </c>
    </row>
    <row r="36" customFormat="false" ht="35.05" hidden="false" customHeight="false" outlineLevel="0" collapsed="false">
      <c r="A36" s="2" t="s">
        <v>127</v>
      </c>
      <c r="B36" s="2" t="s">
        <v>128</v>
      </c>
      <c r="D36" s="7"/>
      <c r="F36" s="6" t="str">
        <f aca="false">IF(ISBLANK(D36),"— input needed","measured by you (not in the book)")</f>
        <v>— input needed</v>
      </c>
      <c r="G36" s="2" t="s">
        <v>129</v>
      </c>
      <c r="H36" s="2" t="s">
        <v>130</v>
      </c>
    </row>
    <row r="37" customFormat="false" ht="15" hidden="false" customHeight="false" outlineLevel="0" collapsed="false">
      <c r="A37" s="2" t="s">
        <v>131</v>
      </c>
      <c r="B37" s="2" t="s">
        <v>35</v>
      </c>
      <c r="D37" s="7"/>
      <c r="F37" s="6" t="str">
        <f aca="false">IF(ISBLANK(D37),"— input needed","measured by you (not in the book)")</f>
        <v>— input needed</v>
      </c>
      <c r="G37" s="2" t="s">
        <v>132</v>
      </c>
      <c r="H37" s="2" t="s">
        <v>133</v>
      </c>
    </row>
    <row r="38" customFormat="false" ht="15" hidden="false" customHeight="false" outlineLevel="0" collapsed="false">
      <c r="A38" s="2" t="s">
        <v>134</v>
      </c>
      <c r="B38" s="2" t="s">
        <v>35</v>
      </c>
      <c r="D38" s="7"/>
      <c r="F38" s="6" t="str">
        <f aca="false">IF(ISBLANK(D38),"— input needed","measured by you (not in the book)")</f>
        <v>— input needed</v>
      </c>
      <c r="G38" s="2" t="s">
        <v>135</v>
      </c>
      <c r="H38" s="2" t="s">
        <v>136</v>
      </c>
    </row>
    <row r="39" customFormat="false" ht="15" hidden="false" customHeight="false" outlineLevel="0" collapsed="false">
      <c r="A39" s="2" t="s">
        <v>137</v>
      </c>
      <c r="B39" s="2" t="s">
        <v>35</v>
      </c>
      <c r="D39" s="7"/>
      <c r="F39" s="6" t="str">
        <f aca="false">IF(ISBLANK(D39),"— input needed","measured by you (not in the book)")</f>
        <v>— input needed</v>
      </c>
      <c r="G39" s="2" t="s">
        <v>138</v>
      </c>
      <c r="H39" s="2" t="s">
        <v>139</v>
      </c>
    </row>
    <row r="40" customFormat="false" ht="15" hidden="false" customHeight="false" outlineLevel="0" collapsed="false">
      <c r="A40" s="2" t="s">
        <v>140</v>
      </c>
      <c r="B40" s="2" t="s">
        <v>64</v>
      </c>
      <c r="D40" s="7"/>
      <c r="F40" s="6" t="str">
        <f aca="false">IF(ISBLANK(D40),"— input needed","measured by you (not in the book)")</f>
        <v>— input needed</v>
      </c>
      <c r="G40" s="2" t="s">
        <v>141</v>
      </c>
      <c r="H40" s="2" t="s">
        <v>142</v>
      </c>
    </row>
    <row r="41" customFormat="false" ht="15" hidden="false" customHeight="false" outlineLevel="0" collapsed="false">
      <c r="A41" s="2" t="s">
        <v>143</v>
      </c>
      <c r="B41" s="2" t="s">
        <v>64</v>
      </c>
      <c r="D41" s="7"/>
      <c r="F41" s="6" t="str">
        <f aca="false">IF(ISBLANK(D41),"— input needed","measured by you (not in the book)")</f>
        <v>— input needed</v>
      </c>
      <c r="G41" s="2" t="s">
        <v>144</v>
      </c>
      <c r="H41" s="2" t="s">
        <v>145</v>
      </c>
    </row>
    <row r="42" customFormat="false" ht="15" hidden="false" customHeight="false" outlineLevel="0" collapsed="false">
      <c r="A42" s="2" t="s">
        <v>146</v>
      </c>
      <c r="B42" s="2" t="s">
        <v>64</v>
      </c>
      <c r="D42" s="7"/>
      <c r="F42" s="6" t="str">
        <f aca="false">IF(ISBLANK(D42),"— input needed","measured by you (not in the book)")</f>
        <v>— input needed</v>
      </c>
      <c r="G42" s="2" t="s">
        <v>147</v>
      </c>
      <c r="H42" s="2" t="s">
        <v>148</v>
      </c>
    </row>
    <row r="43" customFormat="false" ht="15" hidden="false" customHeight="false" outlineLevel="0" collapsed="false">
      <c r="A43" s="2" t="s">
        <v>149</v>
      </c>
      <c r="B43" s="2" t="s">
        <v>64</v>
      </c>
      <c r="D43" s="7"/>
      <c r="F43" s="6" t="str">
        <f aca="false">IF(ISBLANK(D43),"— input needed","measured by you (not in the book)")</f>
        <v>— input needed</v>
      </c>
      <c r="G43" s="2" t="s">
        <v>150</v>
      </c>
      <c r="H43" s="2" t="s">
        <v>151</v>
      </c>
    </row>
    <row r="44" customFormat="false" ht="15" hidden="false" customHeight="false" outlineLevel="0" collapsed="false">
      <c r="A44" s="2" t="s">
        <v>152</v>
      </c>
      <c r="B44" s="2" t="s">
        <v>64</v>
      </c>
      <c r="D44" s="7"/>
      <c r="F44" s="6" t="str">
        <f aca="false">IF(ISBLANK(D44),"— input needed","measured by you (not in the book)")</f>
        <v>— input needed</v>
      </c>
      <c r="G44" s="2" t="s">
        <v>153</v>
      </c>
      <c r="H44" s="2" t="s">
        <v>154</v>
      </c>
    </row>
    <row r="45" customFormat="false" ht="15" hidden="false" customHeight="false" outlineLevel="0" collapsed="false">
      <c r="A45" s="2" t="s">
        <v>155</v>
      </c>
      <c r="B45" s="2" t="s">
        <v>156</v>
      </c>
      <c r="D45" s="7"/>
      <c r="F45" s="6" t="str">
        <f aca="false">IF(ISBLANK(D45),"— input needed","measured by you (not in the book)")</f>
        <v>— input needed</v>
      </c>
      <c r="G45" s="2" t="s">
        <v>157</v>
      </c>
      <c r="H45" s="2" t="s">
        <v>158</v>
      </c>
    </row>
    <row r="46" customFormat="false" ht="23.85" hidden="false" customHeight="false" outlineLevel="0" collapsed="false">
      <c r="A46" s="2" t="s">
        <v>159</v>
      </c>
      <c r="B46" s="2" t="s">
        <v>60</v>
      </c>
      <c r="D46" s="7"/>
      <c r="F46" s="6" t="str">
        <f aca="false">IF(ISBLANK(D46),"— input needed","measured by you (not in the book)")</f>
        <v>— input needed</v>
      </c>
      <c r="G46" s="2" t="s">
        <v>160</v>
      </c>
      <c r="H46" s="2" t="s">
        <v>161</v>
      </c>
    </row>
    <row r="47" customFormat="false" ht="15" hidden="false" customHeight="false" outlineLevel="0" collapsed="false">
      <c r="A47" s="2" t="s">
        <v>162</v>
      </c>
      <c r="B47" s="2" t="s">
        <v>163</v>
      </c>
      <c r="D47" s="8" t="n">
        <v>2000000</v>
      </c>
      <c r="F47" s="2" t="s">
        <v>65</v>
      </c>
      <c r="G47" s="2" t="s">
        <v>164</v>
      </c>
      <c r="H47" s="2" t="s">
        <v>165</v>
      </c>
    </row>
    <row r="49" customFormat="false" ht="23.85" hidden="false" customHeight="false" outlineLevel="0" collapsed="false">
      <c r="A49" s="3" t="s">
        <v>166</v>
      </c>
    </row>
    <row r="50" customFormat="false" ht="15" hidden="false" customHeight="false" outlineLevel="0" collapsed="false">
      <c r="A50" s="4" t="s">
        <v>167</v>
      </c>
      <c r="B50" s="4" t="s">
        <v>19</v>
      </c>
      <c r="C50" s="4"/>
      <c r="D50" s="4" t="s">
        <v>48</v>
      </c>
      <c r="E50" s="4"/>
      <c r="F50" s="4" t="s">
        <v>23</v>
      </c>
      <c r="G50" s="4" t="s">
        <v>168</v>
      </c>
      <c r="H50" s="4"/>
    </row>
    <row r="51" customFormat="false" ht="23.85" hidden="false" customHeight="false" outlineLevel="0" collapsed="false">
      <c r="A51" s="2" t="s">
        <v>169</v>
      </c>
      <c r="B51" s="2" t="s">
        <v>35</v>
      </c>
      <c r="D51" s="12" t="str">
        <f aca="false">IF(OR(ISBLANK(VarPower),ISBLANK(VarLabour),ISBLANK(VarBags)),"",VarPower+VarLabour+VarBags)</f>
        <v/>
      </c>
      <c r="F51" s="2" t="s">
        <v>170</v>
      </c>
      <c r="G51" s="2" t="s">
        <v>171</v>
      </c>
    </row>
    <row r="52" customFormat="false" ht="23.85" hidden="false" customHeight="false" outlineLevel="0" collapsed="false">
      <c r="A52" s="2" t="s">
        <v>172</v>
      </c>
      <c r="B52" s="2" t="s">
        <v>64</v>
      </c>
      <c r="D52" s="12" t="str">
        <f aca="false">IF(OR(ISBLANK(Rent),ISBLANK(Wages),ISBLANK(Maintenance),ISBLANK(LoanInterest),ISBLANK(FoundersDraw)),"",Rent+Wages+Maintenance+LoanInterest+FoundersDraw)</f>
        <v/>
      </c>
      <c r="F52" s="2" t="s">
        <v>170</v>
      </c>
      <c r="G52" s="2" t="s">
        <v>173</v>
      </c>
    </row>
  </sheetData>
  <dataValidations count="1">
    <dataValidation allowBlank="true" error="Enter a measured number, or leave the cell empty." errorStyle="stop" errorTitle="Not a number" operator="greaterThanOrEqual" showDropDown="false" showErrorMessage="true" showInputMessage="false" sqref="C7:E9 C10:C11 E10:E11 C12:E12 D16:D47" type="decimal">
      <formula1>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6"/>
    <col collapsed="false" customWidth="true" hidden="false" outlineLevel="0" max="5" min="5" style="0" width="18"/>
    <col collapsed="false" customWidth="true" hidden="false" outlineLevel="0" max="6" min="6" style="0" width="48"/>
  </cols>
  <sheetData>
    <row r="1" customFormat="false" ht="32.8" hidden="false" customHeight="false" outlineLevel="0" collapsed="false">
      <c r="A1" s="1" t="s">
        <v>174</v>
      </c>
    </row>
    <row r="2" customFormat="false" ht="23.85" hidden="false" customHeight="false" outlineLevel="0" collapsed="false">
      <c r="A2" s="2" t="s">
        <v>175</v>
      </c>
    </row>
    <row r="4" customFormat="false" ht="15" hidden="false" customHeight="false" outlineLevel="0" collapsed="false">
      <c r="A4" s="3" t="s">
        <v>176</v>
      </c>
    </row>
    <row r="5" customFormat="false" ht="15" hidden="false" customHeight="false" outlineLevel="0" collapsed="false">
      <c r="A5" s="4" t="s">
        <v>177</v>
      </c>
      <c r="B5" s="13" t="n">
        <f aca="false">Wholesale_Lo</f>
        <v>400</v>
      </c>
      <c r="C5" s="13" t="n">
        <f aca="false">Wholesale_Mid</f>
        <v>500</v>
      </c>
      <c r="D5" s="13" t="n">
        <f aca="false">Wholesale_Hi</f>
        <v>600</v>
      </c>
      <c r="E5" s="4" t="s">
        <v>23</v>
      </c>
    </row>
    <row r="6" customFormat="false" ht="15" hidden="false" customHeight="false" outlineLevel="0" collapsed="false">
      <c r="A6" s="12" t="n">
        <f aca="false">LotKg*Recovery_Lo/RecoveryBasis</f>
        <v>35</v>
      </c>
      <c r="B6" s="12" t="n">
        <f aca="false">$A6*B$5</f>
        <v>14000</v>
      </c>
      <c r="C6" s="12" t="n">
        <f aca="false">$A6*C$5</f>
        <v>17500</v>
      </c>
      <c r="D6" s="12" t="n">
        <f aca="false">$A6*D$5</f>
        <v>21000</v>
      </c>
      <c r="E6" s="2" t="s">
        <v>178</v>
      </c>
    </row>
    <row r="7" customFormat="false" ht="15" hidden="false" customHeight="false" outlineLevel="0" collapsed="false">
      <c r="A7" s="12" t="n">
        <f aca="false">LotKg*Recovery_Mid/RecoveryBasis</f>
        <v>37</v>
      </c>
      <c r="B7" s="12" t="n">
        <f aca="false">$A7*B$5</f>
        <v>14800</v>
      </c>
      <c r="C7" s="12" t="n">
        <f aca="false">$A7*C$5</f>
        <v>18500</v>
      </c>
      <c r="D7" s="12" t="n">
        <f aca="false">$A7*D$5</f>
        <v>22200</v>
      </c>
      <c r="E7" s="2" t="s">
        <v>178</v>
      </c>
    </row>
    <row r="8" customFormat="false" ht="15" hidden="false" customHeight="false" outlineLevel="0" collapsed="false">
      <c r="A8" s="12" t="n">
        <f aca="false">LotKg*Recovery_Hi/RecoveryBasis</f>
        <v>40</v>
      </c>
      <c r="B8" s="12" t="n">
        <f aca="false">$A8*B$5</f>
        <v>16000</v>
      </c>
      <c r="C8" s="12" t="n">
        <f aca="false">$A8*C$5</f>
        <v>20000</v>
      </c>
      <c r="D8" s="12" t="n">
        <f aca="false">$A8*D$5</f>
        <v>24000</v>
      </c>
      <c r="E8" s="2" t="s">
        <v>178</v>
      </c>
    </row>
    <row r="10" customFormat="false" ht="15" hidden="false" customHeight="false" outlineLevel="0" collapsed="false">
      <c r="A10" s="3" t="s">
        <v>179</v>
      </c>
    </row>
    <row r="11" customFormat="false" ht="15" hidden="false" customHeight="false" outlineLevel="0" collapsed="false">
      <c r="A11" s="4" t="s">
        <v>180</v>
      </c>
      <c r="B11" s="13" t="n">
        <f aca="false">RawPrice_Lo</f>
        <v>150</v>
      </c>
      <c r="C11" s="13" t="n">
        <f aca="false">RawPrice_Mid</f>
        <v>200</v>
      </c>
      <c r="D11" s="13" t="n">
        <f aca="false">RawPrice_Hi</f>
        <v>250</v>
      </c>
      <c r="E11" s="4" t="s">
        <v>23</v>
      </c>
    </row>
    <row r="12" customFormat="false" ht="15" hidden="false" customHeight="false" outlineLevel="0" collapsed="false">
      <c r="A12" s="2" t="s">
        <v>181</v>
      </c>
      <c r="B12" s="12" t="n">
        <f aca="false">LotKg*B11</f>
        <v>15000</v>
      </c>
      <c r="C12" s="12" t="n">
        <f aca="false">LotKg*C11</f>
        <v>20000</v>
      </c>
      <c r="D12" s="12" t="n">
        <f aca="false">LotKg*D11</f>
        <v>25000</v>
      </c>
      <c r="E12" s="2" t="s">
        <v>178</v>
      </c>
    </row>
    <row r="14" customFormat="false" ht="15" hidden="false" customHeight="false" outlineLevel="0" collapsed="false">
      <c r="A14" s="3" t="s">
        <v>182</v>
      </c>
    </row>
    <row r="15" customFormat="false" ht="15" hidden="false" customHeight="false" outlineLevel="0" collapsed="false">
      <c r="A15" s="4" t="s">
        <v>177</v>
      </c>
      <c r="B15" s="13" t="n">
        <f aca="false">B$5</f>
        <v>400</v>
      </c>
      <c r="C15" s="13" t="n">
        <f aca="false">C$5</f>
        <v>500</v>
      </c>
      <c r="D15" s="13" t="n">
        <f aca="false">D$5</f>
        <v>600</v>
      </c>
      <c r="E15" s="4" t="s">
        <v>23</v>
      </c>
    </row>
    <row r="16" customFormat="false" ht="15" hidden="false" customHeight="false" outlineLevel="0" collapsed="false">
      <c r="A16" s="12" t="n">
        <f aca="false">$A6</f>
        <v>35</v>
      </c>
      <c r="B16" s="12" t="n">
        <f aca="false">B6-$C$12</f>
        <v>-6000</v>
      </c>
      <c r="C16" s="12" t="n">
        <f aca="false">C6-$C$12</f>
        <v>-2500</v>
      </c>
      <c r="D16" s="12" t="n">
        <f aca="false">D6-$C$12</f>
        <v>1000</v>
      </c>
      <c r="E16" s="2" t="s">
        <v>178</v>
      </c>
    </row>
    <row r="17" customFormat="false" ht="15" hidden="false" customHeight="false" outlineLevel="0" collapsed="false">
      <c r="A17" s="12" t="n">
        <f aca="false">$A7</f>
        <v>37</v>
      </c>
      <c r="B17" s="12" t="n">
        <f aca="false">B7-$C$12</f>
        <v>-5200</v>
      </c>
      <c r="C17" s="12" t="n">
        <f aca="false">C7-$C$12</f>
        <v>-1500</v>
      </c>
      <c r="D17" s="12" t="n">
        <f aca="false">D7-$C$12</f>
        <v>2200</v>
      </c>
      <c r="E17" s="2" t="s">
        <v>178</v>
      </c>
    </row>
    <row r="18" customFormat="false" ht="15" hidden="false" customHeight="false" outlineLevel="0" collapsed="false">
      <c r="A18" s="12" t="n">
        <f aca="false">$A8</f>
        <v>40</v>
      </c>
      <c r="B18" s="12" t="n">
        <f aca="false">B8-$C$12</f>
        <v>-4000</v>
      </c>
      <c r="C18" s="12" t="n">
        <f aca="false">C8-$C$12</f>
        <v>0</v>
      </c>
      <c r="D18" s="12" t="n">
        <f aca="false">D8-$C$12</f>
        <v>4000</v>
      </c>
      <c r="E18" s="2" t="s">
        <v>178</v>
      </c>
    </row>
    <row r="19" customFormat="false" ht="15" hidden="false" customHeight="false" outlineLevel="0" collapsed="false">
      <c r="A19" s="2" t="s">
        <v>183</v>
      </c>
      <c r="B19" s="12" t="n">
        <f aca="false">COUNTIF(B16:D18,"&lt;=0")</f>
        <v>6</v>
      </c>
    </row>
    <row r="20" customFormat="false" ht="15" hidden="false" customHeight="false" outlineLevel="0" collapsed="false">
      <c r="A20" s="2" t="s">
        <v>184</v>
      </c>
      <c r="B20" s="12" t="n">
        <f aca="false">COUNTIF(B16:D18,"&gt;0")</f>
        <v>3</v>
      </c>
    </row>
    <row r="23" customFormat="false" ht="15" hidden="false" customHeight="false" outlineLevel="0" collapsed="false">
      <c r="A23" s="3" t="s">
        <v>185</v>
      </c>
    </row>
    <row r="24" customFormat="false" ht="15" hidden="false" customHeight="false" outlineLevel="0" collapsed="false">
      <c r="A24" s="4" t="s">
        <v>177</v>
      </c>
      <c r="B24" s="13" t="n">
        <f aca="false">B$5</f>
        <v>400</v>
      </c>
      <c r="C24" s="13" t="n">
        <f aca="false">C$5</f>
        <v>500</v>
      </c>
      <c r="D24" s="13" t="n">
        <f aca="false">D$5</f>
        <v>600</v>
      </c>
      <c r="E24" s="4" t="s">
        <v>23</v>
      </c>
    </row>
    <row r="25" customFormat="false" ht="15" hidden="false" customHeight="false" outlineLevel="0" collapsed="false">
      <c r="A25" s="12" t="n">
        <f aca="false">$A6</f>
        <v>35</v>
      </c>
      <c r="B25" s="12" t="n">
        <f aca="false">B6-$B$12</f>
        <v>-1000</v>
      </c>
      <c r="C25" s="12" t="n">
        <f aca="false">C6-$B$12</f>
        <v>2500</v>
      </c>
      <c r="D25" s="12" t="n">
        <f aca="false">D6-$B$12</f>
        <v>6000</v>
      </c>
      <c r="E25" s="2" t="s">
        <v>178</v>
      </c>
    </row>
    <row r="26" customFormat="false" ht="15" hidden="false" customHeight="false" outlineLevel="0" collapsed="false">
      <c r="A26" s="12" t="n">
        <f aca="false">$A7</f>
        <v>37</v>
      </c>
      <c r="B26" s="12" t="n">
        <f aca="false">B7-$B$12</f>
        <v>-200</v>
      </c>
      <c r="C26" s="12" t="n">
        <f aca="false">C7-$B$12</f>
        <v>3500</v>
      </c>
      <c r="D26" s="12" t="n">
        <f aca="false">D7-$B$12</f>
        <v>7200</v>
      </c>
      <c r="E26" s="2" t="s">
        <v>178</v>
      </c>
    </row>
    <row r="27" customFormat="false" ht="15" hidden="false" customHeight="false" outlineLevel="0" collapsed="false">
      <c r="A27" s="12" t="n">
        <f aca="false">$A8</f>
        <v>40</v>
      </c>
      <c r="B27" s="12" t="n">
        <f aca="false">B8-$B$12</f>
        <v>1000</v>
      </c>
      <c r="C27" s="12" t="n">
        <f aca="false">C8-$B$12</f>
        <v>5000</v>
      </c>
      <c r="D27" s="12" t="n">
        <f aca="false">D8-$B$12</f>
        <v>9000</v>
      </c>
      <c r="E27" s="2" t="s">
        <v>178</v>
      </c>
    </row>
    <row r="28" customFormat="false" ht="15" hidden="false" customHeight="false" outlineLevel="0" collapsed="false">
      <c r="A28" s="2" t="s">
        <v>183</v>
      </c>
      <c r="B28" s="12" t="n">
        <f aca="false">COUNTIF(B25:D27,"&lt;=0")</f>
        <v>2</v>
      </c>
    </row>
    <row r="29" customFormat="false" ht="15" hidden="false" customHeight="false" outlineLevel="0" collapsed="false">
      <c r="A29" s="2" t="s">
        <v>184</v>
      </c>
      <c r="B29" s="12" t="n">
        <f aca="false">COUNTIF(B25:D27,"&gt;0")</f>
        <v>7</v>
      </c>
    </row>
    <row r="32" customFormat="false" ht="15" hidden="false" customHeight="false" outlineLevel="0" collapsed="false">
      <c r="A32" s="3" t="s">
        <v>186</v>
      </c>
    </row>
    <row r="33" customFormat="false" ht="15" hidden="false" customHeight="false" outlineLevel="0" collapsed="false">
      <c r="A33" s="4" t="s">
        <v>177</v>
      </c>
      <c r="B33" s="13" t="n">
        <f aca="false">B$5</f>
        <v>400</v>
      </c>
      <c r="C33" s="13" t="n">
        <f aca="false">C$5</f>
        <v>500</v>
      </c>
      <c r="D33" s="13" t="n">
        <f aca="false">D$5</f>
        <v>600</v>
      </c>
      <c r="E33" s="4" t="s">
        <v>23</v>
      </c>
    </row>
    <row r="34" customFormat="false" ht="15" hidden="false" customHeight="false" outlineLevel="0" collapsed="false">
      <c r="A34" s="12" t="n">
        <f aca="false">$A6</f>
        <v>35</v>
      </c>
      <c r="B34" s="12" t="n">
        <f aca="false">B6-$D$12</f>
        <v>-11000</v>
      </c>
      <c r="C34" s="12" t="n">
        <f aca="false">C6-$D$12</f>
        <v>-7500</v>
      </c>
      <c r="D34" s="12" t="n">
        <f aca="false">D6-$D$12</f>
        <v>-4000</v>
      </c>
      <c r="E34" s="2" t="s">
        <v>178</v>
      </c>
    </row>
    <row r="35" customFormat="false" ht="15" hidden="false" customHeight="false" outlineLevel="0" collapsed="false">
      <c r="A35" s="12" t="n">
        <f aca="false">$A7</f>
        <v>37</v>
      </c>
      <c r="B35" s="12" t="n">
        <f aca="false">B7-$D$12</f>
        <v>-10200</v>
      </c>
      <c r="C35" s="12" t="n">
        <f aca="false">C7-$D$12</f>
        <v>-6500</v>
      </c>
      <c r="D35" s="12" t="n">
        <f aca="false">D7-$D$12</f>
        <v>-2800</v>
      </c>
      <c r="E35" s="2" t="s">
        <v>178</v>
      </c>
    </row>
    <row r="36" customFormat="false" ht="15" hidden="false" customHeight="false" outlineLevel="0" collapsed="false">
      <c r="A36" s="12" t="n">
        <f aca="false">$A8</f>
        <v>40</v>
      </c>
      <c r="B36" s="12" t="n">
        <f aca="false">B8-$D$12</f>
        <v>-9000</v>
      </c>
      <c r="C36" s="12" t="n">
        <f aca="false">C8-$D$12</f>
        <v>-5000</v>
      </c>
      <c r="D36" s="12" t="n">
        <f aca="false">D8-$D$12</f>
        <v>-1000</v>
      </c>
      <c r="E36" s="2" t="s">
        <v>178</v>
      </c>
    </row>
    <row r="37" customFormat="false" ht="15" hidden="false" customHeight="false" outlineLevel="0" collapsed="false">
      <c r="A37" s="2" t="s">
        <v>183</v>
      </c>
      <c r="B37" s="12" t="n">
        <f aca="false">COUNTIF(B34:D36,"&lt;=0")</f>
        <v>9</v>
      </c>
    </row>
    <row r="38" customFormat="false" ht="15" hidden="false" customHeight="false" outlineLevel="0" collapsed="false">
      <c r="A38" s="2" t="s">
        <v>184</v>
      </c>
      <c r="B38" s="12" t="n">
        <f aca="false">COUNTIF(B34:D36,"&gt;0")</f>
        <v>0</v>
      </c>
    </row>
  </sheetData>
  <conditionalFormatting sqref="B1:F80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5" min="2" style="0" width="18"/>
    <col collapsed="false" customWidth="true" hidden="false" outlineLevel="0" max="6" min="6" style="0" width="24"/>
    <col collapsed="false" customWidth="true" hidden="false" outlineLevel="0" max="7" min="7" style="0" width="16"/>
    <col collapsed="false" customWidth="true" hidden="false" outlineLevel="0" max="8" min="8" style="0" width="52"/>
    <col collapsed="false" customWidth="true" hidden="false" outlineLevel="0" max="9" min="9" style="0" width="26"/>
  </cols>
  <sheetData>
    <row r="1" customFormat="false" ht="32.8" hidden="false" customHeight="false" outlineLevel="0" collapsed="false">
      <c r="A1" s="1" t="s">
        <v>187</v>
      </c>
    </row>
    <row r="2" customFormat="false" ht="35.05" hidden="false" customHeight="false" outlineLevel="0" collapsed="false">
      <c r="A2" s="2" t="s">
        <v>188</v>
      </c>
    </row>
    <row r="4" customFormat="false" ht="15" hidden="false" customHeight="false" outlineLevel="0" collapsed="false">
      <c r="A4" s="2" t="s">
        <v>189</v>
      </c>
      <c r="B4" s="12" t="str">
        <f aca="false">ScenarioChoice</f>
        <v>Mid</v>
      </c>
    </row>
    <row r="5" customFormat="false" ht="23.85" hidden="false" customHeight="false" outlineLevel="0" collapsed="false">
      <c r="A5" s="2" t="s">
        <v>190</v>
      </c>
      <c r="B5" s="12" t="str">
        <f aca="false">IF(ISBLANK(SeasonMonths),"",SeasonMonths)</f>
        <v/>
      </c>
      <c r="G5" s="2" t="s">
        <v>191</v>
      </c>
    </row>
    <row r="6" customFormat="false" ht="15" hidden="false" customHeight="false" outlineLevel="0" collapsed="false">
      <c r="A6" s="2" t="s">
        <v>192</v>
      </c>
      <c r="B6" s="12" t="str">
        <f aca="false">IF(B5="","",MonthsInYear-B5)</f>
        <v/>
      </c>
    </row>
    <row r="8" customFormat="false" ht="23.85" hidden="false" customHeight="false" outlineLevel="0" collapsed="false">
      <c r="A8" s="4" t="s">
        <v>193</v>
      </c>
      <c r="B8" s="4" t="s">
        <v>194</v>
      </c>
      <c r="C8" s="4" t="s">
        <v>195</v>
      </c>
      <c r="D8" s="4" t="s">
        <v>196</v>
      </c>
      <c r="E8" s="4" t="s">
        <v>197</v>
      </c>
      <c r="F8" s="4" t="s">
        <v>198</v>
      </c>
      <c r="G8" s="4" t="s">
        <v>23</v>
      </c>
      <c r="H8" s="4" t="s">
        <v>168</v>
      </c>
      <c r="I8" s="4" t="s">
        <v>199</v>
      </c>
    </row>
    <row r="9" customFormat="false" ht="15" hidden="false" customHeight="false" outlineLevel="0" collapsed="false">
      <c r="A9" s="2" t="s">
        <v>200</v>
      </c>
      <c r="B9" s="12" t="str">
        <f aca="false">IF(ISBLANK(RawKgPerMonth),"",RawKgPerMonth)</f>
        <v/>
      </c>
      <c r="C9" s="6" t="s">
        <v>39</v>
      </c>
      <c r="D9" s="12" t="str">
        <f aca="false">IF(OR(B9="",B$5=""),"",B9*B$5)</f>
        <v/>
      </c>
      <c r="E9" s="12" t="str">
        <f aca="false">D9</f>
        <v/>
      </c>
      <c r="F9" s="12" t="n">
        <f aca="false">WorkedRawKg</f>
        <v>13500</v>
      </c>
      <c r="G9" s="2" t="s">
        <v>201</v>
      </c>
      <c r="H9" s="2" t="s">
        <v>202</v>
      </c>
      <c r="I9" s="6" t="str">
        <f aca="false">IF(ISBLANK(RawKgPerMonth),"RawKgPerMonth","")</f>
        <v>RawKgPerMonth</v>
      </c>
    </row>
    <row r="10" customFormat="false" ht="15" hidden="false" customHeight="false" outlineLevel="0" collapsed="false">
      <c r="A10" s="2" t="s">
        <v>203</v>
      </c>
      <c r="B10" s="12" t="str">
        <f aca="false">IF(B9="","",B9*Sel_Recovery/RecoveryBasis)</f>
        <v/>
      </c>
      <c r="C10" s="6" t="s">
        <v>39</v>
      </c>
      <c r="D10" s="12" t="str">
        <f aca="false">IF(OR(B10="",B$5=""),"",B10*B$5)</f>
        <v/>
      </c>
      <c r="E10" s="12" t="str">
        <f aca="false">D10</f>
        <v/>
      </c>
      <c r="F10" s="12" t="n">
        <f aca="false">IF(F9="","",F9*Sel_Recovery/RecoveryBasis)</f>
        <v>4995</v>
      </c>
      <c r="G10" s="2" t="s">
        <v>178</v>
      </c>
      <c r="H10" s="2" t="s">
        <v>204</v>
      </c>
    </row>
    <row r="11" customFormat="false" ht="15" hidden="false" customHeight="false" outlineLevel="0" collapsed="false">
      <c r="A11" s="2" t="s">
        <v>205</v>
      </c>
      <c r="B11" s="12" t="str">
        <f aca="false">IF(B10="","",B10*TollPerKg)</f>
        <v/>
      </c>
      <c r="C11" s="6" t="s">
        <v>39</v>
      </c>
      <c r="D11" s="12" t="str">
        <f aca="false">IF(OR(B11="",B$5=""),"",B11*B$5)</f>
        <v/>
      </c>
      <c r="E11" s="12" t="str">
        <f aca="false">D11</f>
        <v/>
      </c>
      <c r="F11" s="12" t="n">
        <f aca="false">IF(F10="","",F10*TollPerKg)</f>
        <v>249750</v>
      </c>
      <c r="G11" s="2" t="s">
        <v>206</v>
      </c>
      <c r="H11" s="2" t="s">
        <v>207</v>
      </c>
    </row>
    <row r="12" customFormat="false" ht="15" hidden="false" customHeight="false" outlineLevel="0" collapsed="false">
      <c r="A12" s="2" t="s">
        <v>208</v>
      </c>
      <c r="B12" s="12" t="str">
        <f aca="false">IF(OR(B10="",ISBLANK(GradingFee)),"",B10*GradingFee)</f>
        <v/>
      </c>
      <c r="C12" s="6" t="s">
        <v>39</v>
      </c>
      <c r="D12" s="12" t="str">
        <f aca="false">IF(OR(B12="",B$5=""),"",B12*B$5)</f>
        <v/>
      </c>
      <c r="E12" s="12" t="str">
        <f aca="false">D12</f>
        <v/>
      </c>
      <c r="F12" s="12" t="str">
        <f aca="false">IF(OR(F10="",ISBLANK(GradingFee)),"",F10*GradingFee)</f>
        <v/>
      </c>
      <c r="G12" s="2" t="s">
        <v>209</v>
      </c>
      <c r="H12" s="2" t="s">
        <v>210</v>
      </c>
      <c r="I12" s="6" t="str">
        <f aca="false">IF(ISBLANK(GradingFee),"GradingFee","")</f>
        <v>GradingFee</v>
      </c>
    </row>
    <row r="13" customFormat="false" ht="15" hidden="false" customHeight="false" outlineLevel="0" collapsed="false">
      <c r="A13" s="2" t="s">
        <v>211</v>
      </c>
      <c r="B13" s="6" t="s">
        <v>39</v>
      </c>
      <c r="C13" s="12" t="str">
        <f aca="false">IF(ISBLANK(OffSeasonToll),"",OffSeasonToll)</f>
        <v/>
      </c>
      <c r="D13" s="6" t="s">
        <v>39</v>
      </c>
      <c r="E13" s="12" t="str">
        <f aca="false">IF(B6="","",IF(B6=0,0,IF(C13="","",C13*B6)))</f>
        <v/>
      </c>
      <c r="F13" s="6" t="s">
        <v>39</v>
      </c>
      <c r="G13" s="2" t="s">
        <v>201</v>
      </c>
      <c r="H13" s="2" t="s">
        <v>212</v>
      </c>
      <c r="I13" s="6" t="str">
        <f aca="false">IF(ISBLANK(OffSeasonToll),"OffSeasonToll","")</f>
        <v>OffSeasonToll</v>
      </c>
    </row>
    <row r="14" customFormat="false" ht="15" hidden="false" customHeight="false" outlineLevel="0" collapsed="false">
      <c r="A14" s="2" t="s">
        <v>213</v>
      </c>
      <c r="B14" s="12" t="str">
        <f aca="false">IF(OR(B11="",B12=""),"",B11+B12)</f>
        <v/>
      </c>
      <c r="C14" s="12" t="str">
        <f aca="false">C13</f>
        <v/>
      </c>
      <c r="D14" s="12" t="str">
        <f aca="false">IF(OR(B14="",B$5=""),"",B14*B$5)</f>
        <v/>
      </c>
      <c r="E14" s="12" t="str">
        <f aca="false">IF(OR(D14="",E13=""),"",D14+E13)</f>
        <v/>
      </c>
      <c r="F14" s="12" t="str">
        <f aca="false">IF(OR(F11="",F12=""),"",F11+F12)</f>
        <v/>
      </c>
      <c r="G14" s="2" t="s">
        <v>170</v>
      </c>
      <c r="H14" s="2"/>
    </row>
    <row r="15" customFormat="false" ht="15" hidden="false" customHeight="false" outlineLevel="0" collapsed="false">
      <c r="A15" s="2" t="s">
        <v>214</v>
      </c>
      <c r="B15" s="12" t="str">
        <f aca="false">IF(OR(B10="",ISBLANK(VarPower)),"",B10*VarPower)</f>
        <v/>
      </c>
      <c r="C15" s="6" t="s">
        <v>39</v>
      </c>
      <c r="D15" s="12" t="str">
        <f aca="false">IF(OR(B15="",B$5=""),"",B15*B$5)</f>
        <v/>
      </c>
      <c r="E15" s="12" t="str">
        <f aca="false">D15</f>
        <v/>
      </c>
      <c r="F15" s="12" t="str">
        <f aca="false">IF(OR(F10="",ISBLANK(VarPower)),"",F10*VarPower)</f>
        <v/>
      </c>
      <c r="G15" s="2" t="s">
        <v>209</v>
      </c>
      <c r="H15" s="2" t="s">
        <v>215</v>
      </c>
      <c r="I15" s="6" t="str">
        <f aca="false">IF(ISBLANK(VarPower),"VarPower","")</f>
        <v>VarPower</v>
      </c>
    </row>
    <row r="16" customFormat="false" ht="15" hidden="false" customHeight="false" outlineLevel="0" collapsed="false">
      <c r="A16" s="2" t="s">
        <v>216</v>
      </c>
      <c r="B16" s="12" t="str">
        <f aca="false">IF(OR(B10="",ISBLANK(VarLabour)),"",B10*VarLabour)</f>
        <v/>
      </c>
      <c r="C16" s="6" t="s">
        <v>39</v>
      </c>
      <c r="D16" s="12" t="str">
        <f aca="false">IF(OR(B16="",B$5=""),"",B16*B$5)</f>
        <v/>
      </c>
      <c r="E16" s="12" t="str">
        <f aca="false">D16</f>
        <v/>
      </c>
      <c r="F16" s="12" t="str">
        <f aca="false">IF(OR(F10="",ISBLANK(VarLabour)),"",F10*VarLabour)</f>
        <v/>
      </c>
      <c r="G16" s="2" t="s">
        <v>209</v>
      </c>
      <c r="H16" s="2" t="s">
        <v>215</v>
      </c>
      <c r="I16" s="6" t="str">
        <f aca="false">IF(ISBLANK(VarLabour),"VarLabour","")</f>
        <v>VarLabour</v>
      </c>
    </row>
    <row r="17" customFormat="false" ht="15" hidden="false" customHeight="false" outlineLevel="0" collapsed="false">
      <c r="A17" s="2" t="s">
        <v>217</v>
      </c>
      <c r="B17" s="12" t="str">
        <f aca="false">IF(OR(B10="",ISBLANK(VarBags)),"",B10*VarBags)</f>
        <v/>
      </c>
      <c r="C17" s="6" t="s">
        <v>39</v>
      </c>
      <c r="D17" s="12" t="str">
        <f aca="false">IF(OR(B17="",B$5=""),"",B17*B$5)</f>
        <v/>
      </c>
      <c r="E17" s="12" t="str">
        <f aca="false">D17</f>
        <v/>
      </c>
      <c r="F17" s="12" t="str">
        <f aca="false">IF(OR(F10="",ISBLANK(VarBags)),"",F10*VarBags)</f>
        <v/>
      </c>
      <c r="G17" s="2" t="s">
        <v>209</v>
      </c>
      <c r="H17" s="2" t="s">
        <v>215</v>
      </c>
      <c r="I17" s="6" t="str">
        <f aca="false">IF(ISBLANK(VarBags),"VarBags","")</f>
        <v>VarBags</v>
      </c>
    </row>
    <row r="18" customFormat="false" ht="15" hidden="false" customHeight="false" outlineLevel="0" collapsed="false">
      <c r="A18" s="2" t="s">
        <v>218</v>
      </c>
      <c r="B18" s="12" t="str">
        <f aca="false">IF(OR(B15="",B16="",B17=""),"",B15+B16+B17)</f>
        <v/>
      </c>
      <c r="C18" s="6" t="s">
        <v>39</v>
      </c>
      <c r="D18" s="12" t="str">
        <f aca="false">IF(OR(B18="",B$5=""),"",B18*B$5)</f>
        <v/>
      </c>
      <c r="E18" s="12" t="str">
        <f aca="false">D18</f>
        <v/>
      </c>
      <c r="F18" s="12" t="str">
        <f aca="false">IF(OR(F15="",F16="",F17=""),"",F15+F16+F17)</f>
        <v/>
      </c>
      <c r="G18" s="2" t="s">
        <v>170</v>
      </c>
      <c r="H18" s="2" t="s">
        <v>219</v>
      </c>
    </row>
    <row r="19" customFormat="false" ht="15" hidden="false" customHeight="false" outlineLevel="0" collapsed="false">
      <c r="A19" s="2" t="s">
        <v>220</v>
      </c>
      <c r="B19" s="12" t="str">
        <f aca="false">IF(OR(B14="",B18=""),"",B14-B18)</f>
        <v/>
      </c>
      <c r="C19" s="12" t="str">
        <f aca="false">IF(C13="","",C13)</f>
        <v/>
      </c>
      <c r="D19" s="12" t="str">
        <f aca="false">IF(OR(B19="",B$5=""),"",B19*B$5)</f>
        <v/>
      </c>
      <c r="E19" s="12" t="str">
        <f aca="false">IF(OR(D19="",E13=""),"",D19+E13)</f>
        <v/>
      </c>
      <c r="F19" s="12" t="str">
        <f aca="false">IF(OR(F14="",F18=""),"",F14-F18)</f>
        <v/>
      </c>
      <c r="G19" s="2" t="s">
        <v>170</v>
      </c>
      <c r="H19" s="2"/>
    </row>
    <row r="20" customFormat="false" ht="15" hidden="false" customHeight="false" outlineLevel="0" collapsed="false">
      <c r="A20" s="2" t="s">
        <v>221</v>
      </c>
      <c r="B20" s="12" t="str">
        <f aca="false">IF(ISBLANK(Rent),"",Rent)</f>
        <v/>
      </c>
      <c r="C20" s="12" t="str">
        <f aca="false">B20</f>
        <v/>
      </c>
      <c r="D20" s="12" t="str">
        <f aca="false">IF(OR(B20="",B$5=""),"",B20*B$5)</f>
        <v/>
      </c>
      <c r="E20" s="12" t="str">
        <f aca="false">IF(B20="","",B20*MonthsInYear)</f>
        <v/>
      </c>
      <c r="F20" s="12" t="str">
        <f aca="false">B20</f>
        <v/>
      </c>
      <c r="G20" s="2" t="s">
        <v>201</v>
      </c>
      <c r="H20" s="2" t="s">
        <v>222</v>
      </c>
      <c r="I20" s="6" t="str">
        <f aca="false">IF(ISBLANK(Rent),"Rent","")</f>
        <v>Rent</v>
      </c>
    </row>
    <row r="21" customFormat="false" ht="15" hidden="false" customHeight="false" outlineLevel="0" collapsed="false">
      <c r="A21" s="2" t="s">
        <v>223</v>
      </c>
      <c r="B21" s="12" t="str">
        <f aca="false">IF(ISBLANK(Wages),"",Wages)</f>
        <v/>
      </c>
      <c r="C21" s="12" t="str">
        <f aca="false">B21</f>
        <v/>
      </c>
      <c r="D21" s="12" t="str">
        <f aca="false">IF(OR(B21="",B$5=""),"",B21*B$5)</f>
        <v/>
      </c>
      <c r="E21" s="12" t="str">
        <f aca="false">IF(B21="","",B21*MonthsInYear)</f>
        <v/>
      </c>
      <c r="F21" s="12" t="str">
        <f aca="false">B21</f>
        <v/>
      </c>
      <c r="G21" s="2" t="s">
        <v>201</v>
      </c>
      <c r="H21" s="2" t="s">
        <v>222</v>
      </c>
      <c r="I21" s="6" t="str">
        <f aca="false">IF(ISBLANK(Wages),"Wages","")</f>
        <v>Wages</v>
      </c>
    </row>
    <row r="22" customFormat="false" ht="15" hidden="false" customHeight="false" outlineLevel="0" collapsed="false">
      <c r="A22" s="2" t="s">
        <v>224</v>
      </c>
      <c r="B22" s="12" t="str">
        <f aca="false">IF(ISBLANK(Maintenance),"",Maintenance)</f>
        <v/>
      </c>
      <c r="C22" s="12" t="str">
        <f aca="false">B22</f>
        <v/>
      </c>
      <c r="D22" s="12" t="str">
        <f aca="false">IF(OR(B22="",B$5=""),"",B22*B$5)</f>
        <v/>
      </c>
      <c r="E22" s="12" t="str">
        <f aca="false">IF(B22="","",B22*MonthsInYear)</f>
        <v/>
      </c>
      <c r="F22" s="12" t="str">
        <f aca="false">B22</f>
        <v/>
      </c>
      <c r="G22" s="2" t="s">
        <v>201</v>
      </c>
      <c r="H22" s="2" t="s">
        <v>222</v>
      </c>
      <c r="I22" s="6" t="str">
        <f aca="false">IF(ISBLANK(Maintenance),"Maintenance","")</f>
        <v>Maintenance</v>
      </c>
    </row>
    <row r="23" customFormat="false" ht="15" hidden="false" customHeight="false" outlineLevel="0" collapsed="false">
      <c r="A23" s="2" t="s">
        <v>225</v>
      </c>
      <c r="B23" s="12" t="str">
        <f aca="false">IF(ISBLANK(LoanInterest),"",LoanInterest)</f>
        <v/>
      </c>
      <c r="C23" s="12" t="str">
        <f aca="false">B23</f>
        <v/>
      </c>
      <c r="D23" s="12" t="str">
        <f aca="false">IF(OR(B23="",B$5=""),"",B23*B$5)</f>
        <v/>
      </c>
      <c r="E23" s="12" t="str">
        <f aca="false">IF(B23="","",B23*MonthsInYear)</f>
        <v/>
      </c>
      <c r="F23" s="12" t="str">
        <f aca="false">B23</f>
        <v/>
      </c>
      <c r="G23" s="2" t="s">
        <v>201</v>
      </c>
      <c r="H23" s="2" t="s">
        <v>222</v>
      </c>
      <c r="I23" s="6" t="str">
        <f aca="false">IF(ISBLANK(LoanInterest),"LoanInterest","")</f>
        <v>LoanInterest</v>
      </c>
    </row>
    <row r="24" customFormat="false" ht="15" hidden="false" customHeight="false" outlineLevel="0" collapsed="false">
      <c r="A24" s="2" t="s">
        <v>226</v>
      </c>
      <c r="B24" s="12" t="str">
        <f aca="false">IF(ISBLANK(FoundersDraw),"",FoundersDraw)</f>
        <v/>
      </c>
      <c r="C24" s="12" t="str">
        <f aca="false">B24</f>
        <v/>
      </c>
      <c r="D24" s="12" t="str">
        <f aca="false">IF(OR(B24="",B$5=""),"",B24*B$5)</f>
        <v/>
      </c>
      <c r="E24" s="12" t="str">
        <f aca="false">IF(B24="","",B24*MonthsInYear)</f>
        <v/>
      </c>
      <c r="F24" s="12" t="str">
        <f aca="false">B24</f>
        <v/>
      </c>
      <c r="G24" s="2" t="s">
        <v>201</v>
      </c>
      <c r="H24" s="2" t="s">
        <v>222</v>
      </c>
      <c r="I24" s="6" t="str">
        <f aca="false">IF(ISBLANK(FoundersDraw),"FoundersDraw","")</f>
        <v>FoundersDraw</v>
      </c>
    </row>
    <row r="25" customFormat="false" ht="15" hidden="false" customHeight="false" outlineLevel="0" collapsed="false">
      <c r="A25" s="2" t="s">
        <v>227</v>
      </c>
      <c r="B25" s="12" t="str">
        <f aca="false">FixedCostPerMonth</f>
        <v/>
      </c>
      <c r="C25" s="12" t="str">
        <f aca="false">FixedCostPerMonth</f>
        <v/>
      </c>
      <c r="D25" s="12" t="str">
        <f aca="false">IF(OR(B25="",B$5=""),"",B25*B$5)</f>
        <v/>
      </c>
      <c r="E25" s="12" t="str">
        <f aca="false">IF(B25="","",B25*MonthsInYear)</f>
        <v/>
      </c>
      <c r="F25" s="12" t="str">
        <f aca="false">FixedCostPerMonth</f>
        <v/>
      </c>
      <c r="G25" s="2" t="s">
        <v>170</v>
      </c>
      <c r="H25" s="2"/>
    </row>
    <row r="26" customFormat="false" ht="15" hidden="false" customHeight="false" outlineLevel="0" collapsed="false">
      <c r="A26" s="2" t="s">
        <v>228</v>
      </c>
      <c r="B26" s="12" t="str">
        <f aca="false">IF(OR(B19="",B25=""),"",B19-B25)</f>
        <v/>
      </c>
      <c r="C26" s="12" t="str">
        <f aca="false">IF(OR(C19="",C25=""),"",C19-C25)</f>
        <v/>
      </c>
      <c r="D26" s="12" t="str">
        <f aca="false">IF(OR(D19="",D25=""),"",D19-D25)</f>
        <v/>
      </c>
      <c r="E26" s="12" t="str">
        <f aca="false">IF(OR(E19="",E25=""),"",E19-E25)</f>
        <v/>
      </c>
      <c r="F26" s="12" t="str">
        <f aca="false">IF(OR(F19="",F25=""),"",F19-F25)</f>
        <v/>
      </c>
      <c r="G26" s="2" t="s">
        <v>170</v>
      </c>
      <c r="H26" s="2"/>
    </row>
    <row r="27" customFormat="false" ht="23.85" hidden="false" customHeight="false" outlineLevel="0" collapsed="false">
      <c r="A27" s="2" t="s">
        <v>229</v>
      </c>
      <c r="B27" s="6" t="s">
        <v>39</v>
      </c>
      <c r="C27" s="6" t="s">
        <v>39</v>
      </c>
      <c r="D27" s="12" t="str">
        <f aca="false">D26</f>
        <v/>
      </c>
      <c r="E27" s="12" t="str">
        <f aca="false">E26</f>
        <v/>
      </c>
      <c r="F27" s="6" t="s">
        <v>39</v>
      </c>
      <c r="G27" s="2" t="s">
        <v>170</v>
      </c>
      <c r="H27" s="2" t="s">
        <v>230</v>
      </c>
    </row>
  </sheetData>
  <conditionalFormatting sqref="B1:F80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5" min="2" style="0" width="18"/>
    <col collapsed="false" customWidth="true" hidden="false" outlineLevel="0" max="6" min="6" style="0" width="24"/>
    <col collapsed="false" customWidth="true" hidden="false" outlineLevel="0" max="7" min="7" style="0" width="16"/>
    <col collapsed="false" customWidth="true" hidden="false" outlineLevel="0" max="8" min="8" style="0" width="52"/>
    <col collapsed="false" customWidth="true" hidden="false" outlineLevel="0" max="9" min="9" style="0" width="26"/>
  </cols>
  <sheetData>
    <row r="1" customFormat="false" ht="32.8" hidden="false" customHeight="false" outlineLevel="0" collapsed="false">
      <c r="A1" s="1" t="s">
        <v>231</v>
      </c>
    </row>
    <row r="2" customFormat="false" ht="35.05" hidden="false" customHeight="false" outlineLevel="0" collapsed="false">
      <c r="A2" s="2" t="s">
        <v>188</v>
      </c>
    </row>
    <row r="4" customFormat="false" ht="15" hidden="false" customHeight="false" outlineLevel="0" collapsed="false">
      <c r="A4" s="2" t="s">
        <v>189</v>
      </c>
      <c r="B4" s="12" t="str">
        <f aca="false">ScenarioChoice</f>
        <v>Mid</v>
      </c>
    </row>
    <row r="5" customFormat="false" ht="23.85" hidden="false" customHeight="false" outlineLevel="0" collapsed="false">
      <c r="A5" s="2" t="s">
        <v>190</v>
      </c>
      <c r="B5" s="12" t="str">
        <f aca="false">IF(ISBLANK(SeasonMonths),"",SeasonMonths)</f>
        <v/>
      </c>
      <c r="G5" s="2" t="s">
        <v>191</v>
      </c>
    </row>
    <row r="6" customFormat="false" ht="15" hidden="false" customHeight="false" outlineLevel="0" collapsed="false">
      <c r="A6" s="2" t="s">
        <v>192</v>
      </c>
      <c r="B6" s="12" t="str">
        <f aca="false">IF(B5="","",MonthsInYear-B5)</f>
        <v/>
      </c>
    </row>
    <row r="8" customFormat="false" ht="23.85" hidden="false" customHeight="false" outlineLevel="0" collapsed="false">
      <c r="A8" s="4" t="s">
        <v>193</v>
      </c>
      <c r="B8" s="4" t="s">
        <v>194</v>
      </c>
      <c r="C8" s="4" t="s">
        <v>195</v>
      </c>
      <c r="D8" s="4" t="s">
        <v>196</v>
      </c>
      <c r="E8" s="4" t="s">
        <v>197</v>
      </c>
      <c r="F8" s="4" t="s">
        <v>198</v>
      </c>
      <c r="G8" s="4" t="s">
        <v>23</v>
      </c>
      <c r="H8" s="4" t="s">
        <v>168</v>
      </c>
      <c r="I8" s="4" t="s">
        <v>199</v>
      </c>
    </row>
    <row r="9" customFormat="false" ht="15" hidden="false" customHeight="false" outlineLevel="0" collapsed="false">
      <c r="A9" s="2" t="s">
        <v>232</v>
      </c>
      <c r="B9" s="12" t="str">
        <f aca="false">IF(ISBLANK(RawKgPerMonth),"",RawKgPerMonth)</f>
        <v/>
      </c>
      <c r="C9" s="6" t="s">
        <v>39</v>
      </c>
      <c r="D9" s="12" t="str">
        <f aca="false">IF(OR(B9="",B$5=""),"",B9*B$5)</f>
        <v/>
      </c>
      <c r="E9" s="12" t="str">
        <f aca="false">D9</f>
        <v/>
      </c>
      <c r="F9" s="12" t="n">
        <f aca="false">WorkedRawKg</f>
        <v>13500</v>
      </c>
      <c r="G9" s="2" t="s">
        <v>201</v>
      </c>
      <c r="H9" s="2" t="s">
        <v>202</v>
      </c>
      <c r="I9" s="6" t="str">
        <f aca="false">IF(ISBLANK(RawKgPerMonth),"RawKgPerMonth","")</f>
        <v>RawKgPerMonth</v>
      </c>
    </row>
    <row r="10" customFormat="false" ht="15" hidden="false" customHeight="false" outlineLevel="0" collapsed="false">
      <c r="A10" s="2" t="s">
        <v>203</v>
      </c>
      <c r="B10" s="12" t="str">
        <f aca="false">IF(B9="","",B9*Sel_Recovery/RecoveryBasis)</f>
        <v/>
      </c>
      <c r="C10" s="6" t="s">
        <v>39</v>
      </c>
      <c r="D10" s="12" t="str">
        <f aca="false">IF(OR(B10="",B$5=""),"",B10*B$5)</f>
        <v/>
      </c>
      <c r="E10" s="12" t="str">
        <f aca="false">D10</f>
        <v/>
      </c>
      <c r="F10" s="12" t="n">
        <f aca="false">IF(F9="","",F9*Sel_Recovery/RecoveryBasis)</f>
        <v>4995</v>
      </c>
      <c r="G10" s="2" t="s">
        <v>178</v>
      </c>
      <c r="H10" s="2" t="s">
        <v>204</v>
      </c>
    </row>
    <row r="11" customFormat="false" ht="15" hidden="false" customHeight="false" outlineLevel="0" collapsed="false">
      <c r="A11" s="2" t="s">
        <v>233</v>
      </c>
      <c r="B11" s="12" t="str">
        <f aca="false">IF(B9="","",B9*Sel_Raw)</f>
        <v/>
      </c>
      <c r="C11" s="6" t="s">
        <v>39</v>
      </c>
      <c r="D11" s="12" t="str">
        <f aca="false">IF(OR(B11="",B$5=""),"",B11*B$5)</f>
        <v/>
      </c>
      <c r="E11" s="12" t="str">
        <f aca="false">D11</f>
        <v/>
      </c>
      <c r="F11" s="12" t="n">
        <f aca="false">IF(F9="","",F9*Sel_Raw)</f>
        <v>2700000</v>
      </c>
      <c r="G11" s="2" t="s">
        <v>178</v>
      </c>
      <c r="H11" s="2" t="s">
        <v>234</v>
      </c>
    </row>
    <row r="12" customFormat="false" ht="15" hidden="false" customHeight="false" outlineLevel="0" collapsed="false">
      <c r="A12" s="2" t="s">
        <v>235</v>
      </c>
      <c r="B12" s="12" t="str">
        <f aca="false">IF(B10="","",B10*Sel_Wholesale)</f>
        <v/>
      </c>
      <c r="C12" s="6" t="s">
        <v>39</v>
      </c>
      <c r="D12" s="12" t="str">
        <f aca="false">IF(OR(B12="",B$5=""),"",B12*B$5)</f>
        <v/>
      </c>
      <c r="E12" s="12" t="str">
        <f aca="false">D12</f>
        <v/>
      </c>
      <c r="F12" s="12" t="n">
        <f aca="false">IF(F10="","",F10*Sel_Wholesale)</f>
        <v>2497500</v>
      </c>
      <c r="G12" s="2" t="s">
        <v>178</v>
      </c>
      <c r="H12" s="2" t="s">
        <v>236</v>
      </c>
    </row>
    <row r="13" customFormat="false" ht="15" hidden="false" customHeight="false" outlineLevel="0" collapsed="false">
      <c r="A13" s="2" t="s">
        <v>237</v>
      </c>
      <c r="B13" s="12" t="str">
        <f aca="false">IF(OR(B11="",B12=""),"",B12-B11)</f>
        <v/>
      </c>
      <c r="C13" s="6" t="s">
        <v>39</v>
      </c>
      <c r="D13" s="12" t="str">
        <f aca="false">IF(OR(B13="",B$5=""),"",B13*B$5)</f>
        <v/>
      </c>
      <c r="E13" s="12" t="str">
        <f aca="false">D13</f>
        <v/>
      </c>
      <c r="F13" s="12" t="n">
        <f aca="false">IF(OR(F11="",F12=""),"",F12-F11)</f>
        <v>-202500</v>
      </c>
      <c r="G13" s="2" t="s">
        <v>178</v>
      </c>
      <c r="H13" s="2" t="s">
        <v>238</v>
      </c>
    </row>
    <row r="14" customFormat="false" ht="15" hidden="false" customHeight="false" outlineLevel="0" collapsed="false">
      <c r="A14" s="2" t="s">
        <v>211</v>
      </c>
      <c r="B14" s="6" t="s">
        <v>39</v>
      </c>
      <c r="C14" s="12" t="str">
        <f aca="false">IF(ISBLANK(OffSeasonToll),"",OffSeasonToll)</f>
        <v/>
      </c>
      <c r="D14" s="6" t="s">
        <v>39</v>
      </c>
      <c r="E14" s="12" t="str">
        <f aca="false">IF(B6="","",IF(B6=0,0,IF(C14="","",C14*B6)))</f>
        <v/>
      </c>
      <c r="F14" s="6" t="s">
        <v>39</v>
      </c>
      <c r="G14" s="2" t="s">
        <v>201</v>
      </c>
      <c r="H14" s="2" t="s">
        <v>212</v>
      </c>
      <c r="I14" s="6" t="str">
        <f aca="false">IF(ISBLANK(OffSeasonToll),"OffSeasonToll","")</f>
        <v>OffSeasonToll</v>
      </c>
    </row>
    <row r="15" customFormat="false" ht="15" hidden="false" customHeight="false" outlineLevel="0" collapsed="false">
      <c r="A15" s="2" t="s">
        <v>214</v>
      </c>
      <c r="B15" s="12" t="str">
        <f aca="false">IF(OR(B10="",ISBLANK(VarPower)),"",B10*VarPower)</f>
        <v/>
      </c>
      <c r="C15" s="6" t="s">
        <v>39</v>
      </c>
      <c r="D15" s="12" t="str">
        <f aca="false">IF(OR(B15="",B$5=""),"",B15*B$5)</f>
        <v/>
      </c>
      <c r="E15" s="12" t="str">
        <f aca="false">D15</f>
        <v/>
      </c>
      <c r="F15" s="12" t="str">
        <f aca="false">IF(OR(F10="",ISBLANK(VarPower)),"",F10*VarPower)</f>
        <v/>
      </c>
      <c r="G15" s="2" t="s">
        <v>209</v>
      </c>
      <c r="H15" s="2" t="s">
        <v>215</v>
      </c>
      <c r="I15" s="6" t="str">
        <f aca="false">IF(ISBLANK(VarPower),"VarPower","")</f>
        <v>VarPower</v>
      </c>
    </row>
    <row r="16" customFormat="false" ht="15" hidden="false" customHeight="false" outlineLevel="0" collapsed="false">
      <c r="A16" s="2" t="s">
        <v>216</v>
      </c>
      <c r="B16" s="12" t="str">
        <f aca="false">IF(OR(B10="",ISBLANK(VarLabour)),"",B10*VarLabour)</f>
        <v/>
      </c>
      <c r="C16" s="6" t="s">
        <v>39</v>
      </c>
      <c r="D16" s="12" t="str">
        <f aca="false">IF(OR(B16="",B$5=""),"",B16*B$5)</f>
        <v/>
      </c>
      <c r="E16" s="12" t="str">
        <f aca="false">D16</f>
        <v/>
      </c>
      <c r="F16" s="12" t="str">
        <f aca="false">IF(OR(F10="",ISBLANK(VarLabour)),"",F10*VarLabour)</f>
        <v/>
      </c>
      <c r="G16" s="2" t="s">
        <v>209</v>
      </c>
      <c r="H16" s="2" t="s">
        <v>215</v>
      </c>
      <c r="I16" s="6" t="str">
        <f aca="false">IF(ISBLANK(VarLabour),"VarLabour","")</f>
        <v>VarLabour</v>
      </c>
    </row>
    <row r="17" customFormat="false" ht="15" hidden="false" customHeight="false" outlineLevel="0" collapsed="false">
      <c r="A17" s="2" t="s">
        <v>217</v>
      </c>
      <c r="B17" s="12" t="str">
        <f aca="false">IF(OR(B10="",ISBLANK(VarBags)),"",B10*VarBags)</f>
        <v/>
      </c>
      <c r="C17" s="6" t="s">
        <v>39</v>
      </c>
      <c r="D17" s="12" t="str">
        <f aca="false">IF(OR(B17="",B$5=""),"",B17*B$5)</f>
        <v/>
      </c>
      <c r="E17" s="12" t="str">
        <f aca="false">D17</f>
        <v/>
      </c>
      <c r="F17" s="12" t="str">
        <f aca="false">IF(OR(F10="",ISBLANK(VarBags)),"",F10*VarBags)</f>
        <v/>
      </c>
      <c r="G17" s="2" t="s">
        <v>209</v>
      </c>
      <c r="H17" s="2" t="s">
        <v>215</v>
      </c>
      <c r="I17" s="6" t="str">
        <f aca="false">IF(ISBLANK(VarBags),"VarBags","")</f>
        <v>VarBags</v>
      </c>
    </row>
    <row r="18" customFormat="false" ht="15" hidden="false" customHeight="false" outlineLevel="0" collapsed="false">
      <c r="A18" s="2" t="s">
        <v>218</v>
      </c>
      <c r="B18" s="12" t="str">
        <f aca="false">IF(OR(B15="",B16="",B17=""),"",B15+B16+B17)</f>
        <v/>
      </c>
      <c r="C18" s="6" t="s">
        <v>39</v>
      </c>
      <c r="D18" s="12" t="str">
        <f aca="false">IF(OR(B18="",B$5=""),"",B18*B$5)</f>
        <v/>
      </c>
      <c r="E18" s="12" t="str">
        <f aca="false">D18</f>
        <v/>
      </c>
      <c r="F18" s="12" t="str">
        <f aca="false">IF(OR(F15="",F16="",F17=""),"",F15+F16+F17)</f>
        <v/>
      </c>
      <c r="G18" s="2" t="s">
        <v>170</v>
      </c>
      <c r="H18" s="2" t="s">
        <v>219</v>
      </c>
    </row>
    <row r="19" customFormat="false" ht="15" hidden="false" customHeight="false" outlineLevel="0" collapsed="false">
      <c r="A19" s="2" t="s">
        <v>239</v>
      </c>
      <c r="B19" s="12" t="str">
        <f aca="false">IF(OR(B13="",B18=""),"",B13-B18)</f>
        <v/>
      </c>
      <c r="C19" s="12" t="str">
        <f aca="false">IF(C14="","",C14)</f>
        <v/>
      </c>
      <c r="D19" s="12" t="str">
        <f aca="false">IF(OR(B19="",B$5=""),"",B19*B$5)</f>
        <v/>
      </c>
      <c r="E19" s="12" t="str">
        <f aca="false">IF(OR(D19="",E14=""),"",D19+E14)</f>
        <v/>
      </c>
      <c r="F19" s="12" t="str">
        <f aca="false">IF(OR(F13="",F18=""),"",F13-F18)</f>
        <v/>
      </c>
      <c r="G19" s="2" t="s">
        <v>170</v>
      </c>
      <c r="H19" s="2"/>
    </row>
    <row r="20" customFormat="false" ht="15" hidden="false" customHeight="false" outlineLevel="0" collapsed="false">
      <c r="A20" s="2" t="s">
        <v>221</v>
      </c>
      <c r="B20" s="12" t="str">
        <f aca="false">IF(ISBLANK(Rent),"",Rent)</f>
        <v/>
      </c>
      <c r="C20" s="12" t="str">
        <f aca="false">B20</f>
        <v/>
      </c>
      <c r="D20" s="12" t="str">
        <f aca="false">IF(OR(B20="",B$5=""),"",B20*B$5)</f>
        <v/>
      </c>
      <c r="E20" s="12" t="str">
        <f aca="false">IF(B20="","",B20*MonthsInYear)</f>
        <v/>
      </c>
      <c r="F20" s="12" t="str">
        <f aca="false">B20</f>
        <v/>
      </c>
      <c r="G20" s="2" t="s">
        <v>201</v>
      </c>
      <c r="H20" s="2" t="s">
        <v>222</v>
      </c>
      <c r="I20" s="6" t="str">
        <f aca="false">IF(ISBLANK(Rent),"Rent","")</f>
        <v>Rent</v>
      </c>
    </row>
    <row r="21" customFormat="false" ht="15" hidden="false" customHeight="false" outlineLevel="0" collapsed="false">
      <c r="A21" s="2" t="s">
        <v>223</v>
      </c>
      <c r="B21" s="12" t="str">
        <f aca="false">IF(ISBLANK(Wages),"",Wages)</f>
        <v/>
      </c>
      <c r="C21" s="12" t="str">
        <f aca="false">B21</f>
        <v/>
      </c>
      <c r="D21" s="12" t="str">
        <f aca="false">IF(OR(B21="",B$5=""),"",B21*B$5)</f>
        <v/>
      </c>
      <c r="E21" s="12" t="str">
        <f aca="false">IF(B21="","",B21*MonthsInYear)</f>
        <v/>
      </c>
      <c r="F21" s="12" t="str">
        <f aca="false">B21</f>
        <v/>
      </c>
      <c r="G21" s="2" t="s">
        <v>201</v>
      </c>
      <c r="H21" s="2" t="s">
        <v>222</v>
      </c>
      <c r="I21" s="6" t="str">
        <f aca="false">IF(ISBLANK(Wages),"Wages","")</f>
        <v>Wages</v>
      </c>
    </row>
    <row r="22" customFormat="false" ht="15" hidden="false" customHeight="false" outlineLevel="0" collapsed="false">
      <c r="A22" s="2" t="s">
        <v>224</v>
      </c>
      <c r="B22" s="12" t="str">
        <f aca="false">IF(ISBLANK(Maintenance),"",Maintenance)</f>
        <v/>
      </c>
      <c r="C22" s="12" t="str">
        <f aca="false">B22</f>
        <v/>
      </c>
      <c r="D22" s="12" t="str">
        <f aca="false">IF(OR(B22="",B$5=""),"",B22*B$5)</f>
        <v/>
      </c>
      <c r="E22" s="12" t="str">
        <f aca="false">IF(B22="","",B22*MonthsInYear)</f>
        <v/>
      </c>
      <c r="F22" s="12" t="str">
        <f aca="false">B22</f>
        <v/>
      </c>
      <c r="G22" s="2" t="s">
        <v>201</v>
      </c>
      <c r="H22" s="2" t="s">
        <v>222</v>
      </c>
      <c r="I22" s="6" t="str">
        <f aca="false">IF(ISBLANK(Maintenance),"Maintenance","")</f>
        <v>Maintenance</v>
      </c>
    </row>
    <row r="23" customFormat="false" ht="15" hidden="false" customHeight="false" outlineLevel="0" collapsed="false">
      <c r="A23" s="2" t="s">
        <v>225</v>
      </c>
      <c r="B23" s="12" t="str">
        <f aca="false">IF(ISBLANK(LoanInterest),"",LoanInterest)</f>
        <v/>
      </c>
      <c r="C23" s="12" t="str">
        <f aca="false">B23</f>
        <v/>
      </c>
      <c r="D23" s="12" t="str">
        <f aca="false">IF(OR(B23="",B$5=""),"",B23*B$5)</f>
        <v/>
      </c>
      <c r="E23" s="12" t="str">
        <f aca="false">IF(B23="","",B23*MonthsInYear)</f>
        <v/>
      </c>
      <c r="F23" s="12" t="str">
        <f aca="false">B23</f>
        <v/>
      </c>
      <c r="G23" s="2" t="s">
        <v>201</v>
      </c>
      <c r="H23" s="2" t="s">
        <v>222</v>
      </c>
      <c r="I23" s="6" t="str">
        <f aca="false">IF(ISBLANK(LoanInterest),"LoanInterest","")</f>
        <v>LoanInterest</v>
      </c>
    </row>
    <row r="24" customFormat="false" ht="15" hidden="false" customHeight="false" outlineLevel="0" collapsed="false">
      <c r="A24" s="2" t="s">
        <v>226</v>
      </c>
      <c r="B24" s="12" t="str">
        <f aca="false">IF(ISBLANK(FoundersDraw),"",FoundersDraw)</f>
        <v/>
      </c>
      <c r="C24" s="12" t="str">
        <f aca="false">B24</f>
        <v/>
      </c>
      <c r="D24" s="12" t="str">
        <f aca="false">IF(OR(B24="",B$5=""),"",B24*B$5)</f>
        <v/>
      </c>
      <c r="E24" s="12" t="str">
        <f aca="false">IF(B24="","",B24*MonthsInYear)</f>
        <v/>
      </c>
      <c r="F24" s="12" t="str">
        <f aca="false">B24</f>
        <v/>
      </c>
      <c r="G24" s="2" t="s">
        <v>201</v>
      </c>
      <c r="H24" s="2" t="s">
        <v>222</v>
      </c>
      <c r="I24" s="6" t="str">
        <f aca="false">IF(ISBLANK(FoundersDraw),"FoundersDraw","")</f>
        <v>FoundersDraw</v>
      </c>
    </row>
    <row r="25" customFormat="false" ht="15" hidden="false" customHeight="false" outlineLevel="0" collapsed="false">
      <c r="A25" s="2" t="s">
        <v>227</v>
      </c>
      <c r="B25" s="12" t="str">
        <f aca="false">FixedCostPerMonth</f>
        <v/>
      </c>
      <c r="C25" s="12" t="str">
        <f aca="false">FixedCostPerMonth</f>
        <v/>
      </c>
      <c r="D25" s="12" t="str">
        <f aca="false">IF(OR(B25="",B$5=""),"",B25*B$5)</f>
        <v/>
      </c>
      <c r="E25" s="12" t="str">
        <f aca="false">IF(B25="","",B25*MonthsInYear)</f>
        <v/>
      </c>
      <c r="F25" s="12" t="str">
        <f aca="false">FixedCostPerMonth</f>
        <v/>
      </c>
      <c r="G25" s="2" t="s">
        <v>170</v>
      </c>
      <c r="H25" s="2"/>
    </row>
    <row r="26" customFormat="false" ht="15" hidden="false" customHeight="false" outlineLevel="0" collapsed="false">
      <c r="A26" s="2" t="s">
        <v>228</v>
      </c>
      <c r="B26" s="12" t="str">
        <f aca="false">IF(OR(B19="",B25=""),"",B19-B25)</f>
        <v/>
      </c>
      <c r="C26" s="12" t="str">
        <f aca="false">IF(OR(C19="",C25=""),"",C19-C25)</f>
        <v/>
      </c>
      <c r="D26" s="12" t="str">
        <f aca="false">IF(OR(D19="",D25=""),"",D19-D25)</f>
        <v/>
      </c>
      <c r="E26" s="12" t="str">
        <f aca="false">IF(OR(E19="",E25=""),"",E19-E25)</f>
        <v/>
      </c>
      <c r="F26" s="12" t="str">
        <f aca="false">IF(OR(F19="",F25=""),"",F19-F25)</f>
        <v/>
      </c>
      <c r="G26" s="2" t="s">
        <v>170</v>
      </c>
      <c r="H26" s="2"/>
    </row>
    <row r="27" customFormat="false" ht="23.85" hidden="false" customHeight="false" outlineLevel="0" collapsed="false">
      <c r="A27" s="2" t="s">
        <v>229</v>
      </c>
      <c r="B27" s="6" t="s">
        <v>39</v>
      </c>
      <c r="C27" s="6" t="s">
        <v>39</v>
      </c>
      <c r="D27" s="12" t="str">
        <f aca="false">D26</f>
        <v/>
      </c>
      <c r="E27" s="12" t="str">
        <f aca="false">E26</f>
        <v/>
      </c>
      <c r="F27" s="6" t="s">
        <v>39</v>
      </c>
      <c r="G27" s="2" t="s">
        <v>170</v>
      </c>
      <c r="H27" s="2" t="s">
        <v>230</v>
      </c>
    </row>
    <row r="29" customFormat="false" ht="15" hidden="false" customHeight="false" outlineLevel="0" collapsed="false">
      <c r="A29" s="2" t="s">
        <v>240</v>
      </c>
      <c r="B29" s="12" t="str">
        <f aca="false">B11</f>
        <v/>
      </c>
      <c r="F29" s="12" t="n">
        <f aca="false">F11</f>
        <v>2700000</v>
      </c>
      <c r="G29" s="2" t="s">
        <v>178</v>
      </c>
    </row>
    <row r="30" customFormat="false" ht="23.85" hidden="false" customHeight="false" outlineLevel="0" collapsed="false">
      <c r="A30" s="2" t="s">
        <v>241</v>
      </c>
      <c r="B30" s="14" t="str">
        <f aca="false">IF(B11="","",B11/StudyWorkingCapital)</f>
        <v/>
      </c>
      <c r="F30" s="14" t="n">
        <f aca="false">IF(F11="","",F11/StudyWorkingCapital)</f>
        <v>5.4</v>
      </c>
      <c r="G30" s="2" t="s">
        <v>178</v>
      </c>
    </row>
  </sheetData>
  <conditionalFormatting sqref="B1:F80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4" min="2" style="0" width="18"/>
    <col collapsed="false" customWidth="true" hidden="false" outlineLevel="0" max="5" min="5" style="0" width="24"/>
    <col collapsed="false" customWidth="true" hidden="false" outlineLevel="0" max="6" min="6" style="0" width="52"/>
  </cols>
  <sheetData>
    <row r="1" customFormat="false" ht="32.8" hidden="false" customHeight="false" outlineLevel="0" collapsed="false">
      <c r="A1" s="1" t="s">
        <v>242</v>
      </c>
    </row>
    <row r="2" customFormat="false" ht="23.85" hidden="false" customHeight="false" outlineLevel="0" collapsed="false">
      <c r="A2" s="2" t="s">
        <v>243</v>
      </c>
    </row>
    <row r="4" customFormat="false" ht="15" hidden="false" customHeight="false" outlineLevel="0" collapsed="false">
      <c r="A4" s="3" t="s">
        <v>244</v>
      </c>
    </row>
    <row r="5" customFormat="false" ht="15" hidden="false" customHeight="false" outlineLevel="0" collapsed="false">
      <c r="A5" s="4" t="s">
        <v>193</v>
      </c>
      <c r="B5" s="4" t="s">
        <v>48</v>
      </c>
      <c r="C5" s="4"/>
      <c r="D5" s="4"/>
      <c r="E5" s="4" t="s">
        <v>23</v>
      </c>
      <c r="F5" s="4" t="s">
        <v>245</v>
      </c>
    </row>
    <row r="6" customFormat="false" ht="15" hidden="false" customHeight="false" outlineLevel="0" collapsed="false">
      <c r="A6" s="2" t="s">
        <v>246</v>
      </c>
      <c r="B6" s="12" t="str">
        <f aca="false">FixedCostPerMonth</f>
        <v/>
      </c>
      <c r="E6" s="2" t="s">
        <v>170</v>
      </c>
      <c r="F6" s="2" t="s">
        <v>247</v>
      </c>
    </row>
    <row r="7" customFormat="false" ht="15" hidden="false" customHeight="false" outlineLevel="0" collapsed="false">
      <c r="A7" s="2" t="s">
        <v>248</v>
      </c>
      <c r="B7" s="12" t="str">
        <f aca="false">VarCostPerKg</f>
        <v/>
      </c>
      <c r="E7" s="2" t="s">
        <v>170</v>
      </c>
      <c r="F7" s="2" t="s">
        <v>247</v>
      </c>
    </row>
    <row r="8" customFormat="false" ht="15" hidden="false" customHeight="false" outlineLevel="0" collapsed="false">
      <c r="A8" s="2" t="s">
        <v>249</v>
      </c>
      <c r="B8" s="12" t="n">
        <f aca="false">TollPerKg</f>
        <v>50</v>
      </c>
      <c r="E8" s="2" t="s">
        <v>250</v>
      </c>
      <c r="F8" s="2" t="s">
        <v>251</v>
      </c>
    </row>
    <row r="9" customFormat="false" ht="15" hidden="false" customHeight="false" outlineLevel="0" collapsed="false">
      <c r="A9" s="2" t="s">
        <v>252</v>
      </c>
      <c r="B9" s="12" t="str">
        <f aca="false">IF(ISBLANK(GradingFee),"",GradingFee)</f>
        <v/>
      </c>
      <c r="E9" s="2" t="s">
        <v>253</v>
      </c>
      <c r="F9" s="2" t="s">
        <v>251</v>
      </c>
    </row>
    <row r="10" customFormat="false" ht="15" hidden="false" customHeight="false" outlineLevel="0" collapsed="false">
      <c r="A10" s="2" t="s">
        <v>254</v>
      </c>
      <c r="B10" s="12" t="str">
        <f aca="false">IF(OR(B7="",B9=""),"",B8+B9-B7)</f>
        <v/>
      </c>
      <c r="E10" s="2" t="s">
        <v>170</v>
      </c>
      <c r="F10" s="2"/>
    </row>
    <row r="11" customFormat="false" ht="15" hidden="false" customHeight="false" outlineLevel="0" collapsed="false">
      <c r="A11" s="2" t="s">
        <v>255</v>
      </c>
      <c r="B11" s="15" t="str">
        <f aca="false">IF(OR(B6="",B10=""),"",IF(B10&lt;=0,"no break-even",B6/B10))</f>
        <v/>
      </c>
      <c r="E11" s="2" t="s">
        <v>170</v>
      </c>
      <c r="F11" s="2"/>
    </row>
    <row r="12" customFormat="false" ht="15" hidden="false" customHeight="false" outlineLevel="0" collapsed="false">
      <c r="A12" s="2" t="s">
        <v>256</v>
      </c>
      <c r="B12" s="15" t="str">
        <f aca="false">IF(ISNUMBER(B11),B11*RecoveryBasis/Sel_Recovery,B11)</f>
        <v/>
      </c>
      <c r="E12" s="2" t="s">
        <v>178</v>
      </c>
      <c r="F12" s="2"/>
    </row>
    <row r="13" customFormat="false" ht="15" hidden="false" customHeight="false" outlineLevel="0" collapsed="false">
      <c r="A13" s="2" t="s">
        <v>257</v>
      </c>
      <c r="B13" s="12" t="str">
        <f aca="false">IF(ISBLANK(RawKgPerMonth),"",RawKgPerMonth)</f>
        <v/>
      </c>
      <c r="E13" s="2" t="s">
        <v>253</v>
      </c>
      <c r="F13" s="2" t="s">
        <v>251</v>
      </c>
    </row>
    <row r="14" customFormat="false" ht="15" hidden="false" customHeight="false" outlineLevel="0" collapsed="false">
      <c r="A14" s="2" t="s">
        <v>258</v>
      </c>
      <c r="B14" s="15" t="str">
        <f aca="false">IF(AND(ISNUMBER(B12),ISNUMBER(B13)),B13-B12,"")</f>
        <v/>
      </c>
      <c r="E14" s="2" t="s">
        <v>178</v>
      </c>
      <c r="F14" s="2" t="s">
        <v>259</v>
      </c>
    </row>
    <row r="15" customFormat="false" ht="23.85" hidden="false" customHeight="false" outlineLevel="0" collapsed="false">
      <c r="A15" s="2" t="s">
        <v>260</v>
      </c>
      <c r="B15" s="12" t="n">
        <f aca="false">FixedStep/TollPerKg</f>
        <v>20</v>
      </c>
      <c r="E15" s="2" t="s">
        <v>170</v>
      </c>
      <c r="F15" s="2" t="s">
        <v>261</v>
      </c>
    </row>
    <row r="16" customFormat="false" ht="15" hidden="false" customHeight="false" outlineLevel="0" collapsed="false">
      <c r="A16" s="2" t="s">
        <v>262</v>
      </c>
      <c r="B16" s="15" t="n">
        <f aca="false">B15*RecoveryBasis/Sel_Recovery</f>
        <v>54.0540540540541</v>
      </c>
      <c r="E16" s="2" t="s">
        <v>178</v>
      </c>
      <c r="F16" s="2" t="s">
        <v>261</v>
      </c>
    </row>
    <row r="17" customFormat="false" ht="23.85" hidden="false" customHeight="false" outlineLevel="0" collapsed="false">
      <c r="A17" s="2" t="s">
        <v>263</v>
      </c>
      <c r="B17" s="12" t="n">
        <f aca="false">WorkedRawKg*Sel_Recovery/RecoveryBasis*TollPerKg</f>
        <v>249750</v>
      </c>
      <c r="E17" s="2" t="s">
        <v>178</v>
      </c>
      <c r="F17" s="2" t="s">
        <v>264</v>
      </c>
    </row>
    <row r="19" customFormat="false" ht="15" hidden="false" customHeight="false" outlineLevel="0" collapsed="false">
      <c r="A19" s="3" t="s">
        <v>265</v>
      </c>
    </row>
    <row r="20" customFormat="false" ht="15" hidden="false" customHeight="false" outlineLevel="0" collapsed="false">
      <c r="A20" s="4" t="s">
        <v>193</v>
      </c>
      <c r="B20" s="4" t="s">
        <v>48</v>
      </c>
      <c r="C20" s="4"/>
      <c r="D20" s="4"/>
      <c r="E20" s="4" t="s">
        <v>23</v>
      </c>
      <c r="F20" s="4" t="s">
        <v>245</v>
      </c>
    </row>
    <row r="21" customFormat="false" ht="15" hidden="false" customHeight="false" outlineLevel="0" collapsed="false">
      <c r="A21" s="2" t="s">
        <v>266</v>
      </c>
      <c r="B21" s="12" t="str">
        <f aca="false">FixedCostPerMonth</f>
        <v/>
      </c>
      <c r="E21" s="2" t="s">
        <v>170</v>
      </c>
      <c r="F21" s="2" t="s">
        <v>247</v>
      </c>
    </row>
    <row r="22" customFormat="false" ht="15" hidden="false" customHeight="false" outlineLevel="0" collapsed="false">
      <c r="A22" s="2" t="s">
        <v>267</v>
      </c>
      <c r="B22" s="16" t="n">
        <f aca="false">Sel_Recovery/RecoveryBasis</f>
        <v>0.37</v>
      </c>
      <c r="E22" s="2" t="s">
        <v>28</v>
      </c>
      <c r="F22" s="2"/>
    </row>
    <row r="23" customFormat="false" ht="15" hidden="false" customHeight="false" outlineLevel="0" collapsed="false">
      <c r="A23" s="2" t="s">
        <v>268</v>
      </c>
      <c r="B23" s="12" t="n">
        <f aca="false">Sel_Wholesale</f>
        <v>500</v>
      </c>
      <c r="E23" s="2" t="s">
        <v>28</v>
      </c>
      <c r="F23" s="2"/>
    </row>
    <row r="24" customFormat="false" ht="15" hidden="false" customHeight="false" outlineLevel="0" collapsed="false">
      <c r="A24" s="2" t="s">
        <v>269</v>
      </c>
      <c r="B24" s="12" t="n">
        <f aca="false">Sel_Raw</f>
        <v>200</v>
      </c>
      <c r="E24" s="2" t="s">
        <v>28</v>
      </c>
      <c r="F24" s="2"/>
    </row>
    <row r="25" customFormat="false" ht="15" hidden="false" customHeight="false" outlineLevel="0" collapsed="false">
      <c r="A25" s="2" t="s">
        <v>270</v>
      </c>
      <c r="B25" s="12" t="str">
        <f aca="false">IF(VarCostPerKg="","",VarCostPerKg*B22)</f>
        <v/>
      </c>
      <c r="E25" s="2" t="s">
        <v>178</v>
      </c>
      <c r="F25" s="2"/>
    </row>
    <row r="26" customFormat="false" ht="15" hidden="false" customHeight="false" outlineLevel="0" collapsed="false">
      <c r="A26" s="2" t="s">
        <v>271</v>
      </c>
      <c r="B26" s="12" t="n">
        <f aca="false">B22*B23-B24</f>
        <v>-15</v>
      </c>
      <c r="E26" s="2" t="s">
        <v>178</v>
      </c>
      <c r="F26" s="2"/>
    </row>
    <row r="27" customFormat="false" ht="23.85" hidden="false" customHeight="false" outlineLevel="0" collapsed="false">
      <c r="A27" s="2" t="s">
        <v>272</v>
      </c>
      <c r="B27" s="12" t="str">
        <f aca="false">IF(B25="","",B26-B25)</f>
        <v/>
      </c>
      <c r="E27" s="2" t="s">
        <v>178</v>
      </c>
      <c r="F27" s="2"/>
    </row>
    <row r="28" customFormat="false" ht="15" hidden="false" customHeight="false" outlineLevel="0" collapsed="false">
      <c r="A28" s="2" t="s">
        <v>273</v>
      </c>
      <c r="B28" s="12" t="str">
        <f aca="false">IF(OR(B21="",B27=""),"",IF(B27&lt;=0,"no break-even",B21/B27))</f>
        <v/>
      </c>
      <c r="E28" s="2" t="s">
        <v>178</v>
      </c>
      <c r="F28" s="2"/>
    </row>
    <row r="29" customFormat="false" ht="35.05" hidden="false" customHeight="false" outlineLevel="0" collapsed="false">
      <c r="A29" s="2" t="s">
        <v>274</v>
      </c>
      <c r="B29" s="12" t="str">
        <f aca="false">IF(B26&lt;=0,"no: margin is zero or negative before any cost","yes: margin is positive before cost")</f>
        <v>no: margin is zero or negative before any cost</v>
      </c>
      <c r="E29" s="2" t="s">
        <v>178</v>
      </c>
      <c r="F29" s="2"/>
    </row>
    <row r="31" customFormat="false" ht="23.85" hidden="false" customHeight="false" outlineLevel="0" collapsed="false">
      <c r="A31" s="3" t="s">
        <v>275</v>
      </c>
    </row>
    <row r="32" customFormat="false" ht="15" hidden="false" customHeight="false" outlineLevel="0" collapsed="false">
      <c r="A32" s="2" t="s">
        <v>276</v>
      </c>
    </row>
    <row r="33" customFormat="false" ht="15" hidden="false" customHeight="false" outlineLevel="0" collapsed="false">
      <c r="A33" s="4" t="s">
        <v>277</v>
      </c>
      <c r="B33" s="13" t="n">
        <f aca="false">Wholesale_Lo</f>
        <v>400</v>
      </c>
      <c r="C33" s="13" t="n">
        <f aca="false">Wholesale_Mid</f>
        <v>500</v>
      </c>
      <c r="D33" s="13" t="n">
        <f aca="false">Wholesale_Hi</f>
        <v>600</v>
      </c>
      <c r="E33" s="4" t="s">
        <v>23</v>
      </c>
    </row>
    <row r="34" customFormat="false" ht="15" hidden="false" customHeight="false" outlineLevel="0" collapsed="false">
      <c r="A34" s="12" t="n">
        <f aca="false">Recovery_Lo</f>
        <v>35</v>
      </c>
      <c r="B34" s="12" t="n">
        <f aca="false">$A34/RecoveryBasis*B$33-RawPrice_Lo</f>
        <v>-10</v>
      </c>
      <c r="C34" s="12" t="n">
        <f aca="false">$A34/RecoveryBasis*C$33-RawPrice_Lo</f>
        <v>25</v>
      </c>
      <c r="D34" s="12" t="n">
        <f aca="false">$A34/RecoveryBasis*D$33-RawPrice_Lo</f>
        <v>60</v>
      </c>
      <c r="E34" s="2" t="s">
        <v>178</v>
      </c>
    </row>
    <row r="35" customFormat="false" ht="15" hidden="false" customHeight="false" outlineLevel="0" collapsed="false">
      <c r="A35" s="12" t="n">
        <f aca="false">Recovery_Mid</f>
        <v>37</v>
      </c>
      <c r="B35" s="12" t="n">
        <f aca="false">$A35/RecoveryBasis*B$33-RawPrice_Lo</f>
        <v>-2</v>
      </c>
      <c r="C35" s="12" t="n">
        <f aca="false">$A35/RecoveryBasis*C$33-RawPrice_Lo</f>
        <v>35</v>
      </c>
      <c r="D35" s="12" t="n">
        <f aca="false">$A35/RecoveryBasis*D$33-RawPrice_Lo</f>
        <v>72</v>
      </c>
      <c r="E35" s="2" t="s">
        <v>178</v>
      </c>
    </row>
    <row r="36" customFormat="false" ht="15" hidden="false" customHeight="false" outlineLevel="0" collapsed="false">
      <c r="A36" s="12" t="n">
        <f aca="false">Recovery_Hi</f>
        <v>40</v>
      </c>
      <c r="B36" s="12" t="n">
        <f aca="false">$A36/RecoveryBasis*B$33-RawPrice_Lo</f>
        <v>10</v>
      </c>
      <c r="C36" s="12" t="n">
        <f aca="false">$A36/RecoveryBasis*C$33-RawPrice_Lo</f>
        <v>50</v>
      </c>
      <c r="D36" s="12" t="n">
        <f aca="false">$A36/RecoveryBasis*D$33-RawPrice_Lo</f>
        <v>90</v>
      </c>
      <c r="E36" s="2" t="s">
        <v>178</v>
      </c>
    </row>
    <row r="37" customFormat="false" ht="15" hidden="false" customHeight="false" outlineLevel="0" collapsed="false">
      <c r="A37" s="2" t="s">
        <v>278</v>
      </c>
      <c r="B37" s="12" t="n">
        <f aca="false">COUNTIF(B34:D36,"&lt;=0")</f>
        <v>2</v>
      </c>
    </row>
    <row r="39" customFormat="false" ht="15" hidden="false" customHeight="false" outlineLevel="0" collapsed="false">
      <c r="A39" s="2" t="s">
        <v>279</v>
      </c>
    </row>
    <row r="40" customFormat="false" ht="15" hidden="false" customHeight="false" outlineLevel="0" collapsed="false">
      <c r="A40" s="4" t="s">
        <v>277</v>
      </c>
      <c r="B40" s="13" t="n">
        <f aca="false">Wholesale_Lo</f>
        <v>400</v>
      </c>
      <c r="C40" s="13" t="n">
        <f aca="false">Wholesale_Mid</f>
        <v>500</v>
      </c>
      <c r="D40" s="13" t="n">
        <f aca="false">Wholesale_Hi</f>
        <v>600</v>
      </c>
      <c r="E40" s="4" t="s">
        <v>23</v>
      </c>
    </row>
    <row r="41" customFormat="false" ht="15" hidden="false" customHeight="false" outlineLevel="0" collapsed="false">
      <c r="A41" s="12" t="n">
        <f aca="false">Recovery_Lo</f>
        <v>35</v>
      </c>
      <c r="B41" s="12" t="n">
        <f aca="false">$A41/RecoveryBasis*B$40-RawPrice_Mid</f>
        <v>-60</v>
      </c>
      <c r="C41" s="12" t="n">
        <f aca="false">$A41/RecoveryBasis*C$40-RawPrice_Mid</f>
        <v>-25</v>
      </c>
      <c r="D41" s="12" t="n">
        <f aca="false">$A41/RecoveryBasis*D$40-RawPrice_Mid</f>
        <v>10</v>
      </c>
      <c r="E41" s="2" t="s">
        <v>178</v>
      </c>
    </row>
    <row r="42" customFormat="false" ht="15" hidden="false" customHeight="false" outlineLevel="0" collapsed="false">
      <c r="A42" s="12" t="n">
        <f aca="false">Recovery_Mid</f>
        <v>37</v>
      </c>
      <c r="B42" s="12" t="n">
        <f aca="false">$A42/RecoveryBasis*B$40-RawPrice_Mid</f>
        <v>-52</v>
      </c>
      <c r="C42" s="12" t="n">
        <f aca="false">$A42/RecoveryBasis*C$40-RawPrice_Mid</f>
        <v>-15</v>
      </c>
      <c r="D42" s="12" t="n">
        <f aca="false">$A42/RecoveryBasis*D$40-RawPrice_Mid</f>
        <v>22</v>
      </c>
      <c r="E42" s="2" t="s">
        <v>178</v>
      </c>
    </row>
    <row r="43" customFormat="false" ht="15" hidden="false" customHeight="false" outlineLevel="0" collapsed="false">
      <c r="A43" s="12" t="n">
        <f aca="false">Recovery_Hi</f>
        <v>40</v>
      </c>
      <c r="B43" s="12" t="n">
        <f aca="false">$A43/RecoveryBasis*B$40-RawPrice_Mid</f>
        <v>-40</v>
      </c>
      <c r="C43" s="12" t="n">
        <f aca="false">$A43/RecoveryBasis*C$40-RawPrice_Mid</f>
        <v>0</v>
      </c>
      <c r="D43" s="12" t="n">
        <f aca="false">$A43/RecoveryBasis*D$40-RawPrice_Mid</f>
        <v>40</v>
      </c>
      <c r="E43" s="2" t="s">
        <v>178</v>
      </c>
    </row>
    <row r="44" customFormat="false" ht="15" hidden="false" customHeight="false" outlineLevel="0" collapsed="false">
      <c r="A44" s="2" t="s">
        <v>278</v>
      </c>
      <c r="B44" s="12" t="n">
        <f aca="false">COUNTIF(B41:D43,"&lt;=0")</f>
        <v>6</v>
      </c>
    </row>
    <row r="46" customFormat="false" ht="15" hidden="false" customHeight="false" outlineLevel="0" collapsed="false">
      <c r="A46" s="2" t="s">
        <v>280</v>
      </c>
    </row>
    <row r="47" customFormat="false" ht="15" hidden="false" customHeight="false" outlineLevel="0" collapsed="false">
      <c r="A47" s="4" t="s">
        <v>277</v>
      </c>
      <c r="B47" s="13" t="n">
        <f aca="false">Wholesale_Lo</f>
        <v>400</v>
      </c>
      <c r="C47" s="13" t="n">
        <f aca="false">Wholesale_Mid</f>
        <v>500</v>
      </c>
      <c r="D47" s="13" t="n">
        <f aca="false">Wholesale_Hi</f>
        <v>600</v>
      </c>
      <c r="E47" s="4" t="s">
        <v>23</v>
      </c>
    </row>
    <row r="48" customFormat="false" ht="15" hidden="false" customHeight="false" outlineLevel="0" collapsed="false">
      <c r="A48" s="12" t="n">
        <f aca="false">Recovery_Lo</f>
        <v>35</v>
      </c>
      <c r="B48" s="12" t="n">
        <f aca="false">$A48/RecoveryBasis*B$47-RawPrice_Hi</f>
        <v>-110</v>
      </c>
      <c r="C48" s="12" t="n">
        <f aca="false">$A48/RecoveryBasis*C$47-RawPrice_Hi</f>
        <v>-75</v>
      </c>
      <c r="D48" s="12" t="n">
        <f aca="false">$A48/RecoveryBasis*D$47-RawPrice_Hi</f>
        <v>-40</v>
      </c>
      <c r="E48" s="2" t="s">
        <v>178</v>
      </c>
    </row>
    <row r="49" customFormat="false" ht="15" hidden="false" customHeight="false" outlineLevel="0" collapsed="false">
      <c r="A49" s="12" t="n">
        <f aca="false">Recovery_Mid</f>
        <v>37</v>
      </c>
      <c r="B49" s="12" t="n">
        <f aca="false">$A49/RecoveryBasis*B$47-RawPrice_Hi</f>
        <v>-102</v>
      </c>
      <c r="C49" s="12" t="n">
        <f aca="false">$A49/RecoveryBasis*C$47-RawPrice_Hi</f>
        <v>-65</v>
      </c>
      <c r="D49" s="12" t="n">
        <f aca="false">$A49/RecoveryBasis*D$47-RawPrice_Hi</f>
        <v>-28</v>
      </c>
      <c r="E49" s="2" t="s">
        <v>178</v>
      </c>
    </row>
    <row r="50" customFormat="false" ht="15" hidden="false" customHeight="false" outlineLevel="0" collapsed="false">
      <c r="A50" s="12" t="n">
        <f aca="false">Recovery_Hi</f>
        <v>40</v>
      </c>
      <c r="B50" s="12" t="n">
        <f aca="false">$A50/RecoveryBasis*B$47-RawPrice_Hi</f>
        <v>-90</v>
      </c>
      <c r="C50" s="12" t="n">
        <f aca="false">$A50/RecoveryBasis*C$47-RawPrice_Hi</f>
        <v>-50</v>
      </c>
      <c r="D50" s="12" t="n">
        <f aca="false">$A50/RecoveryBasis*D$47-RawPrice_Hi</f>
        <v>-10</v>
      </c>
      <c r="E50" s="2" t="s">
        <v>178</v>
      </c>
    </row>
    <row r="51" customFormat="false" ht="15" hidden="false" customHeight="false" outlineLevel="0" collapsed="false">
      <c r="A51" s="2" t="s">
        <v>278</v>
      </c>
      <c r="B51" s="12" t="n">
        <f aca="false">COUNTIF(B48:D50,"&lt;=0")</f>
        <v>9</v>
      </c>
    </row>
    <row r="53" customFormat="false" ht="15" hidden="false" customHeight="false" outlineLevel="0" collapsed="false">
      <c r="A53" s="3" t="s">
        <v>281</v>
      </c>
    </row>
    <row r="54" customFormat="false" ht="15" hidden="false" customHeight="false" outlineLevel="0" collapsed="false">
      <c r="A54" s="4" t="s">
        <v>193</v>
      </c>
      <c r="B54" s="4" t="s">
        <v>282</v>
      </c>
      <c r="C54" s="4" t="s">
        <v>283</v>
      </c>
      <c r="D54" s="4" t="s">
        <v>284</v>
      </c>
      <c r="E54" s="4" t="s">
        <v>23</v>
      </c>
      <c r="F54" s="4" t="s">
        <v>245</v>
      </c>
    </row>
    <row r="55" customFormat="false" ht="15" hidden="false" customHeight="false" outlineLevel="0" collapsed="false">
      <c r="A55" s="2" t="s">
        <v>285</v>
      </c>
    </row>
    <row r="56" customFormat="false" ht="15" hidden="false" customHeight="false" outlineLevel="0" collapsed="false">
      <c r="A56" s="2" t="s">
        <v>286</v>
      </c>
      <c r="B56" s="12" t="n">
        <f aca="false">UnitCapital/StudyPaybackMonths</f>
        <v>250000</v>
      </c>
      <c r="E56" s="2" t="s">
        <v>170</v>
      </c>
      <c r="F56" s="2"/>
    </row>
    <row r="57" customFormat="false" ht="15" hidden="false" customHeight="false" outlineLevel="0" collapsed="false">
      <c r="A57" s="2" t="s">
        <v>287</v>
      </c>
      <c r="B57" s="12" t="n">
        <f aca="false">B56/TollPerKg</f>
        <v>5000</v>
      </c>
      <c r="E57" s="2" t="s">
        <v>170</v>
      </c>
      <c r="F57" s="2"/>
    </row>
    <row r="58" customFormat="false" ht="15" hidden="false" customHeight="false" outlineLevel="0" collapsed="false">
      <c r="A58" s="2" t="s">
        <v>288</v>
      </c>
      <c r="B58" s="15" t="n">
        <f aca="false">B57*RecoveryBasis/Recovery_Mid</f>
        <v>13513.5135135135</v>
      </c>
      <c r="E58" s="2" t="s">
        <v>178</v>
      </c>
      <c r="F58" s="2" t="s">
        <v>289</v>
      </c>
    </row>
    <row r="60" customFormat="false" ht="15" hidden="false" customHeight="false" outlineLevel="0" collapsed="false">
      <c r="A60" s="2" t="s">
        <v>290</v>
      </c>
    </row>
    <row r="61" customFormat="false" ht="15" hidden="false" customHeight="false" outlineLevel="0" collapsed="false">
      <c r="A61" s="2" t="s">
        <v>291</v>
      </c>
      <c r="B61" s="17" t="n">
        <f aca="false">StoreShare_Note</f>
        <v>0.75</v>
      </c>
      <c r="C61" s="17" t="n">
        <f aca="false">StoreShare_Private</f>
        <v>0.35</v>
      </c>
      <c r="D61" s="17" t="n">
        <f aca="false">StoreShare_Producer</f>
        <v>0.5</v>
      </c>
      <c r="E61" s="2" t="s">
        <v>292</v>
      </c>
      <c r="F61" s="2" t="s">
        <v>251</v>
      </c>
    </row>
    <row r="62" customFormat="false" ht="15" hidden="false" customHeight="false" outlineLevel="0" collapsed="false">
      <c r="A62" s="2" t="s">
        <v>293</v>
      </c>
      <c r="B62" s="12" t="n">
        <f aca="false">StoreBenchmark*StoreShare_Note</f>
        <v>750000</v>
      </c>
      <c r="C62" s="12" t="n">
        <f aca="false">StoreBenchmark*StoreShare_Private</f>
        <v>350000</v>
      </c>
      <c r="D62" s="12" t="n">
        <f aca="false">StoreBenchmark*StoreShare_Producer</f>
        <v>500000</v>
      </c>
      <c r="E62" s="2" t="s">
        <v>170</v>
      </c>
      <c r="F62" s="2"/>
    </row>
    <row r="63" customFormat="false" ht="15" hidden="false" customHeight="false" outlineLevel="0" collapsed="false">
      <c r="A63" s="2" t="s">
        <v>294</v>
      </c>
      <c r="B63" s="12" t="n">
        <f aca="false">StoreBenchmark-B62</f>
        <v>250000</v>
      </c>
      <c r="C63" s="12" t="n">
        <f aca="false">StoreBenchmark-C62</f>
        <v>650000</v>
      </c>
      <c r="D63" s="12" t="n">
        <f aca="false">StoreBenchmark-D62</f>
        <v>500000</v>
      </c>
      <c r="E63" s="2" t="s">
        <v>170</v>
      </c>
      <c r="F63" s="2"/>
    </row>
    <row r="64" customFormat="false" ht="15" hidden="false" customHeight="false" outlineLevel="0" collapsed="false">
      <c r="A64" s="2" t="s">
        <v>295</v>
      </c>
      <c r="B64" s="12" t="n">
        <f aca="false">B62</f>
        <v>750000</v>
      </c>
      <c r="C64" s="12" t="n">
        <f aca="false">C62</f>
        <v>350000</v>
      </c>
      <c r="D64" s="12" t="n">
        <f aca="false">D62</f>
        <v>500000</v>
      </c>
      <c r="E64" s="2" t="s">
        <v>170</v>
      </c>
      <c r="F64" s="2" t="s">
        <v>296</v>
      </c>
    </row>
    <row r="65" customFormat="false" ht="15" hidden="false" customHeight="false" outlineLevel="0" collapsed="false">
      <c r="A65" s="2" t="s">
        <v>297</v>
      </c>
      <c r="B65" s="12" t="n">
        <f aca="false">UnitCapital+B63</f>
        <v>1750000</v>
      </c>
      <c r="C65" s="12" t="n">
        <f aca="false">UnitCapital+C63</f>
        <v>2150000</v>
      </c>
      <c r="D65" s="12" t="n">
        <f aca="false">UnitCapital+D63</f>
        <v>2000000</v>
      </c>
      <c r="E65" s="2" t="s">
        <v>170</v>
      </c>
      <c r="F65" s="2"/>
    </row>
    <row r="66" customFormat="false" ht="23.85" hidden="false" customHeight="false" outlineLevel="0" collapsed="false">
      <c r="A66" s="2" t="s">
        <v>298</v>
      </c>
      <c r="B66" s="15" t="n">
        <f aca="false">B65/($B$17)</f>
        <v>7.00700700700701</v>
      </c>
      <c r="C66" s="15" t="n">
        <f aca="false">C65/($B$17)</f>
        <v>8.60860860860861</v>
      </c>
      <c r="D66" s="15" t="n">
        <f aca="false">D65/($B$17)</f>
        <v>8.00800800800801</v>
      </c>
      <c r="E66" s="2" t="s">
        <v>178</v>
      </c>
      <c r="F66" s="2" t="s">
        <v>299</v>
      </c>
    </row>
    <row r="67" customFormat="false" ht="15" hidden="false" customHeight="false" outlineLevel="0" collapsed="false">
      <c r="A67" s="2" t="s">
        <v>300</v>
      </c>
      <c r="B67" s="15" t="str">
        <f aca="false">IF(AND(ISNUMBER(TollOpResultMonth),B65&gt;0),IF(TollOpResultMonth&gt;0,B65/TollOpResultMonth,"no payback"),"")</f>
        <v/>
      </c>
      <c r="C67" s="15" t="str">
        <f aca="false">IF(AND(ISNUMBER(TollOpResultMonth),C65&gt;0),IF(TollOpResultMonth&gt;0,C65/TollOpResultMonth,"no payback"),"")</f>
        <v/>
      </c>
      <c r="D67" s="15" t="str">
        <f aca="false">IF(AND(ISNUMBER(TollOpResultMonth),D65&gt;0),IF(TollOpResultMonth&gt;0,D65/TollOpResultMonth,"no payback"),"")</f>
        <v/>
      </c>
      <c r="E67" s="2" t="s">
        <v>170</v>
      </c>
      <c r="F67" s="2" t="s">
        <v>301</v>
      </c>
    </row>
    <row r="69" customFormat="false" ht="15" hidden="false" customHeight="false" outlineLevel="0" collapsed="false">
      <c r="A69" s="3" t="s">
        <v>302</v>
      </c>
    </row>
    <row r="70" customFormat="false" ht="15" hidden="false" customHeight="false" outlineLevel="0" collapsed="false">
      <c r="A70" s="2" t="s">
        <v>303</v>
      </c>
      <c r="B70" s="12" t="n">
        <f aca="false">GSTServicesThreshold</f>
        <v>2000000</v>
      </c>
      <c r="E70" s="2" t="s">
        <v>65</v>
      </c>
      <c r="F70" s="2" t="s">
        <v>251</v>
      </c>
    </row>
    <row r="71" customFormat="false" ht="15" hidden="false" customHeight="false" outlineLevel="0" collapsed="false">
      <c r="A71" s="2" t="s">
        <v>304</v>
      </c>
      <c r="B71" s="15" t="n">
        <f aca="false">B70/B17</f>
        <v>8.00800800800801</v>
      </c>
      <c r="E71" s="2" t="s">
        <v>178</v>
      </c>
      <c r="F71" s="2" t="s">
        <v>305</v>
      </c>
    </row>
  </sheetData>
  <conditionalFormatting sqref="B1:F80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5" min="2" style="0" width="16"/>
    <col collapsed="false" customWidth="true" hidden="false" outlineLevel="0" max="6" min="6" style="0" width="22"/>
    <col collapsed="false" customWidth="true" hidden="false" outlineLevel="0" max="7" min="7" style="0" width="60"/>
  </cols>
  <sheetData>
    <row r="1" customFormat="false" ht="32.8" hidden="false" customHeight="false" outlineLevel="0" collapsed="false">
      <c r="A1" s="1" t="s">
        <v>306</v>
      </c>
    </row>
    <row r="2" customFormat="false" ht="23.85" hidden="false" customHeight="false" outlineLevel="0" collapsed="false">
      <c r="A2" s="2" t="s">
        <v>307</v>
      </c>
    </row>
    <row r="3" customFormat="false" ht="15" hidden="false" customHeight="false" outlineLevel="0" collapsed="false">
      <c r="A3" s="2" t="s">
        <v>308</v>
      </c>
      <c r="B3" s="18" t="s">
        <v>309</v>
      </c>
    </row>
    <row r="5" customFormat="false" ht="15" hidden="false" customHeight="false" outlineLevel="0" collapsed="false">
      <c r="A5" s="4" t="s">
        <v>310</v>
      </c>
      <c r="B5" s="4" t="s">
        <v>311</v>
      </c>
      <c r="C5" s="4" t="s">
        <v>309</v>
      </c>
      <c r="D5" s="4" t="s">
        <v>312</v>
      </c>
      <c r="E5" s="4" t="s">
        <v>313</v>
      </c>
      <c r="F5" s="4" t="s">
        <v>23</v>
      </c>
      <c r="G5" s="4" t="s">
        <v>168</v>
      </c>
    </row>
    <row r="6" customFormat="false" ht="15" hidden="false" customHeight="false" outlineLevel="0" collapsed="false">
      <c r="A6" s="2" t="s">
        <v>314</v>
      </c>
      <c r="B6" s="12" t="n">
        <f aca="false">RawPrice_Hi</f>
        <v>250</v>
      </c>
      <c r="C6" s="12" t="n">
        <f aca="false">RawPrice_Mid</f>
        <v>200</v>
      </c>
      <c r="D6" s="12" t="n">
        <f aca="false">RawPrice_Lo</f>
        <v>150</v>
      </c>
      <c r="E6" s="12" t="n">
        <f aca="false">INDEX(B6:D6,MATCH(ScenarioChoice,$B$5:$D$5,0))</f>
        <v>200</v>
      </c>
      <c r="F6" s="2" t="s">
        <v>28</v>
      </c>
      <c r="G6" s="2" t="s">
        <v>315</v>
      </c>
    </row>
    <row r="7" customFormat="false" ht="15" hidden="false" customHeight="false" outlineLevel="0" collapsed="false">
      <c r="A7" s="2" t="s">
        <v>316</v>
      </c>
      <c r="B7" s="12" t="n">
        <f aca="false">Recovery_Lo</f>
        <v>35</v>
      </c>
      <c r="C7" s="12" t="n">
        <f aca="false">Recovery_Mid</f>
        <v>37</v>
      </c>
      <c r="D7" s="12" t="n">
        <f aca="false">Recovery_Hi</f>
        <v>40</v>
      </c>
      <c r="E7" s="12" t="n">
        <f aca="false">INDEX(B7:D7,MATCH(ScenarioChoice,$B$5:$D$5,0))</f>
        <v>37</v>
      </c>
      <c r="F7" s="2" t="s">
        <v>28</v>
      </c>
      <c r="G7" s="2"/>
    </row>
    <row r="8" customFormat="false" ht="15" hidden="false" customHeight="false" outlineLevel="0" collapsed="false">
      <c r="A8" s="2" t="s">
        <v>317</v>
      </c>
      <c r="B8" s="12" t="n">
        <f aca="false">Wholesale_Lo</f>
        <v>400</v>
      </c>
      <c r="C8" s="12" t="n">
        <f aca="false">Wholesale_Mid</f>
        <v>500</v>
      </c>
      <c r="D8" s="12" t="n">
        <f aca="false">Wholesale_Hi</f>
        <v>600</v>
      </c>
      <c r="E8" s="12" t="n">
        <f aca="false">INDEX(B8:D8,MATCH(ScenarioChoice,$B$5:$D$5,0))</f>
        <v>500</v>
      </c>
      <c r="F8" s="2" t="s">
        <v>28</v>
      </c>
      <c r="G8" s="2"/>
    </row>
    <row r="10" customFormat="false" ht="15" hidden="false" customHeight="false" outlineLevel="0" collapsed="false">
      <c r="A10" s="3" t="s">
        <v>318</v>
      </c>
    </row>
    <row r="11" customFormat="false" ht="15" hidden="false" customHeight="false" outlineLevel="0" collapsed="false">
      <c r="A11" s="2" t="s">
        <v>319</v>
      </c>
      <c r="B11" s="12" t="n">
        <f aca="false">LotKg*B7/RecoveryBasis</f>
        <v>35</v>
      </c>
      <c r="C11" s="12" t="n">
        <f aca="false">LotKg*C7/RecoveryBasis</f>
        <v>37</v>
      </c>
      <c r="D11" s="12" t="n">
        <f aca="false">LotKg*D7/RecoveryBasis</f>
        <v>40</v>
      </c>
      <c r="E11" s="12" t="n">
        <f aca="false">LotKg*Sel_Recovery/RecoveryBasis</f>
        <v>37</v>
      </c>
      <c r="F11" s="2" t="s">
        <v>178</v>
      </c>
      <c r="G11" s="2" t="s">
        <v>320</v>
      </c>
    </row>
    <row r="12" customFormat="false" ht="15" hidden="false" customHeight="false" outlineLevel="0" collapsed="false">
      <c r="A12" s="2" t="s">
        <v>321</v>
      </c>
      <c r="B12" s="12" t="n">
        <f aca="false">LotKg*B6</f>
        <v>25000</v>
      </c>
      <c r="C12" s="12" t="n">
        <f aca="false">LotKg*C6</f>
        <v>20000</v>
      </c>
      <c r="D12" s="12" t="n">
        <f aca="false">LotKg*D6</f>
        <v>15000</v>
      </c>
      <c r="E12" s="12" t="n">
        <f aca="false">LotKg*Sel_Raw</f>
        <v>20000</v>
      </c>
      <c r="F12" s="2" t="s">
        <v>178</v>
      </c>
      <c r="G12" s="2" t="s">
        <v>322</v>
      </c>
    </row>
    <row r="13" customFormat="false" ht="15" hidden="false" customHeight="false" outlineLevel="0" collapsed="false">
      <c r="A13" s="2" t="s">
        <v>323</v>
      </c>
      <c r="B13" s="12" t="n">
        <f aca="false">B11*B8</f>
        <v>14000</v>
      </c>
      <c r="C13" s="12" t="n">
        <f aca="false">C11*C8</f>
        <v>18500</v>
      </c>
      <c r="D13" s="12" t="n">
        <f aca="false">D11*D8</f>
        <v>24000</v>
      </c>
      <c r="E13" s="12" t="n">
        <f aca="false">E11*Sel_Wholesale</f>
        <v>18500</v>
      </c>
      <c r="F13" s="2" t="s">
        <v>178</v>
      </c>
      <c r="G13" s="2" t="s">
        <v>236</v>
      </c>
    </row>
    <row r="14" customFormat="false" ht="15" hidden="false" customHeight="false" outlineLevel="0" collapsed="false">
      <c r="A14" s="2" t="s">
        <v>324</v>
      </c>
      <c r="B14" s="12" t="n">
        <f aca="false">B13-B12</f>
        <v>-11000</v>
      </c>
      <c r="C14" s="12" t="n">
        <f aca="false">C13-C12</f>
        <v>-1500</v>
      </c>
      <c r="D14" s="12" t="n">
        <f aca="false">D13-D12</f>
        <v>9000</v>
      </c>
      <c r="E14" s="12" t="n">
        <f aca="false">E13-E12</f>
        <v>-1500</v>
      </c>
      <c r="F14" s="2" t="s">
        <v>178</v>
      </c>
      <c r="G14" s="2" t="s">
        <v>325</v>
      </c>
    </row>
    <row r="15" customFormat="false" ht="15" hidden="false" customHeight="false" outlineLevel="0" collapsed="false">
      <c r="A15" s="2" t="s">
        <v>326</v>
      </c>
      <c r="B15" s="12" t="n">
        <f aca="false">B11*TollPerKg</f>
        <v>1750</v>
      </c>
      <c r="C15" s="12" t="n">
        <f aca="false">C11*TollPerKg</f>
        <v>1850</v>
      </c>
      <c r="D15" s="12" t="n">
        <f aca="false">D11*TollPerKg</f>
        <v>2000</v>
      </c>
      <c r="E15" s="12" t="n">
        <f aca="false">E11*TollPerKg</f>
        <v>1850</v>
      </c>
      <c r="F15" s="2" t="s">
        <v>178</v>
      </c>
      <c r="G15" s="2" t="s">
        <v>327</v>
      </c>
    </row>
    <row r="17" customFormat="false" ht="23.85" hidden="false" customHeight="false" outlineLevel="0" collapsed="false">
      <c r="A17" s="3" t="s">
        <v>328</v>
      </c>
    </row>
    <row r="18" customFormat="false" ht="15" hidden="false" customHeight="false" outlineLevel="0" collapsed="false">
      <c r="A18" s="2" t="s">
        <v>329</v>
      </c>
      <c r="B18" s="12" t="str">
        <f aca="false">IF(ISBLANK(RawKgPerMonth),"",B14*RawKgPerMonth/LotKg)</f>
        <v/>
      </c>
      <c r="C18" s="12" t="str">
        <f aca="false">IF(ISBLANK(RawKgPerMonth),"",C14*RawKgPerMonth/LotKg)</f>
        <v/>
      </c>
      <c r="D18" s="12" t="str">
        <f aca="false">IF(ISBLANK(RawKgPerMonth),"",D14*RawKgPerMonth/LotKg)</f>
        <v/>
      </c>
      <c r="E18" s="12" t="str">
        <f aca="false">IF(ISBLANK(RawKgPerMonth),"",E14*RawKgPerMonth/LotKg)</f>
        <v/>
      </c>
      <c r="F18" s="2" t="s">
        <v>330</v>
      </c>
      <c r="G18" s="2" t="s">
        <v>331</v>
      </c>
    </row>
    <row r="19" customFormat="false" ht="15" hidden="false" customHeight="false" outlineLevel="0" collapsed="false">
      <c r="A19" s="2" t="s">
        <v>332</v>
      </c>
      <c r="B19" s="12" t="str">
        <f aca="false">IF(ISBLANK(RawKgPerMonth),"",B15*RawKgPerMonth/LotKg)</f>
        <v/>
      </c>
      <c r="C19" s="12" t="str">
        <f aca="false">IF(ISBLANK(RawKgPerMonth),"",C15*RawKgPerMonth/LotKg)</f>
        <v/>
      </c>
      <c r="D19" s="12" t="str">
        <f aca="false">IF(ISBLANK(RawKgPerMonth),"",D15*RawKgPerMonth/LotKg)</f>
        <v/>
      </c>
      <c r="E19" s="12" t="str">
        <f aca="false">IF(ISBLANK(RawKgPerMonth),"",E15*RawKgPerMonth/LotKg)</f>
        <v/>
      </c>
      <c r="F19" s="2" t="s">
        <v>206</v>
      </c>
      <c r="G19" s="2"/>
    </row>
    <row r="20" customFormat="false" ht="15" hidden="false" customHeight="false" outlineLevel="0" collapsed="false">
      <c r="A20" s="2" t="s">
        <v>333</v>
      </c>
      <c r="B20" s="12" t="str">
        <f aca="false">IF(OR(B18="",ISBLANK(SeasonMonths)),"",B18*SeasonMonths)</f>
        <v/>
      </c>
      <c r="C20" s="12" t="str">
        <f aca="false">IF(OR(C18="",ISBLANK(SeasonMonths)),"",C18*SeasonMonths)</f>
        <v/>
      </c>
      <c r="D20" s="12" t="str">
        <f aca="false">IF(OR(D18="",ISBLANK(SeasonMonths)),"",D18*SeasonMonths)</f>
        <v/>
      </c>
      <c r="E20" s="12" t="str">
        <f aca="false">IF(OR(E18="",ISBLANK(SeasonMonths)),"",E18*SeasonMonths)</f>
        <v/>
      </c>
      <c r="F20" s="2" t="s">
        <v>334</v>
      </c>
      <c r="G20" s="2" t="s">
        <v>335</v>
      </c>
    </row>
    <row r="21" customFormat="false" ht="15" hidden="false" customHeight="false" outlineLevel="0" collapsed="false">
      <c r="A21" s="2" t="s">
        <v>336</v>
      </c>
      <c r="B21" s="12" t="str">
        <f aca="false">IF(OR(B19="",ISBLANK(SeasonMonths)),"",B19*SeasonMonths)</f>
        <v/>
      </c>
      <c r="C21" s="12" t="str">
        <f aca="false">IF(OR(C19="",ISBLANK(SeasonMonths)),"",C19*SeasonMonths)</f>
        <v/>
      </c>
      <c r="D21" s="12" t="str">
        <f aca="false">IF(OR(D19="",ISBLANK(SeasonMonths)),"",D19*SeasonMonths)</f>
        <v/>
      </c>
      <c r="E21" s="12" t="str">
        <f aca="false">IF(OR(E19="",ISBLANK(SeasonMonths)),"",E19*SeasonMonths)</f>
        <v/>
      </c>
      <c r="F21" s="2" t="s">
        <v>337</v>
      </c>
      <c r="G21" s="2" t="s">
        <v>335</v>
      </c>
    </row>
    <row r="23" customFormat="false" ht="35.05" hidden="false" customHeight="false" outlineLevel="0" collapsed="false">
      <c r="A23" s="3" t="s">
        <v>338</v>
      </c>
    </row>
    <row r="24" customFormat="false" ht="15" hidden="false" customHeight="false" outlineLevel="0" collapsed="false">
      <c r="A24" s="2" t="s">
        <v>339</v>
      </c>
      <c r="B24" s="12" t="n">
        <f aca="false">B14*WorkedRawKg/LotKg</f>
        <v>-1485000</v>
      </c>
      <c r="C24" s="12" t="n">
        <f aca="false">C14*WorkedRawKg/LotKg</f>
        <v>-202500</v>
      </c>
      <c r="D24" s="12" t="n">
        <f aca="false">D14*WorkedRawKg/LotKg</f>
        <v>1215000</v>
      </c>
      <c r="E24" s="12" t="n">
        <f aca="false">E14*WorkedRawKg/LotKg</f>
        <v>-202500</v>
      </c>
      <c r="F24" s="2" t="s">
        <v>178</v>
      </c>
      <c r="G24" s="2" t="s">
        <v>340</v>
      </c>
    </row>
    <row r="25" customFormat="false" ht="15" hidden="false" customHeight="false" outlineLevel="0" collapsed="false">
      <c r="A25" s="2" t="s">
        <v>341</v>
      </c>
      <c r="B25" s="12" t="n">
        <f aca="false">B15*WorkedRawKg/LotKg</f>
        <v>236250</v>
      </c>
      <c r="C25" s="12" t="n">
        <f aca="false">C15*WorkedRawKg/LotKg</f>
        <v>249750</v>
      </c>
      <c r="D25" s="12" t="n">
        <f aca="false">D15*WorkedRawKg/LotKg</f>
        <v>270000</v>
      </c>
      <c r="E25" s="12" t="n">
        <f aca="false">E15*WorkedRawKg/LotKg</f>
        <v>249750</v>
      </c>
      <c r="F25" s="2" t="s">
        <v>170</v>
      </c>
      <c r="G25" s="2" t="s">
        <v>342</v>
      </c>
    </row>
    <row r="27" customFormat="false" ht="23.85" hidden="false" customHeight="false" outlineLevel="0" collapsed="false">
      <c r="A27" s="3" t="s">
        <v>343</v>
      </c>
    </row>
    <row r="28" customFormat="false" ht="15" hidden="false" customHeight="false" outlineLevel="0" collapsed="false">
      <c r="A28" s="4" t="s">
        <v>177</v>
      </c>
      <c r="B28" s="13" t="n">
        <f aca="false">Wholesale_Lo</f>
        <v>400</v>
      </c>
      <c r="C28" s="13" t="n">
        <f aca="false">Wholesale_Mid</f>
        <v>500</v>
      </c>
      <c r="D28" s="13" t="n">
        <f aca="false">Wholesale_Hi</f>
        <v>600</v>
      </c>
    </row>
    <row r="29" customFormat="false" ht="15" hidden="false" customHeight="false" outlineLevel="0" collapsed="false">
      <c r="A29" s="12" t="n">
        <f aca="false">LotKg*Recovery_Lo/RecoveryBasis</f>
        <v>35</v>
      </c>
      <c r="B29" s="12" t="n">
        <f aca="false">$A29*B$28-LotKg*Sel_Raw</f>
        <v>-6000</v>
      </c>
      <c r="C29" s="12" t="n">
        <f aca="false">$A29*C$28-LotKg*Sel_Raw</f>
        <v>-2500</v>
      </c>
      <c r="D29" s="12" t="n">
        <f aca="false">$A29*D$28-LotKg*Sel_Raw</f>
        <v>1000</v>
      </c>
      <c r="E29" s="2" t="s">
        <v>178</v>
      </c>
    </row>
    <row r="30" customFormat="false" ht="15" hidden="false" customHeight="false" outlineLevel="0" collapsed="false">
      <c r="A30" s="12" t="n">
        <f aca="false">LotKg*Recovery_Mid/RecoveryBasis</f>
        <v>37</v>
      </c>
      <c r="B30" s="12" t="n">
        <f aca="false">$A30*B$28-LotKg*Sel_Raw</f>
        <v>-5200</v>
      </c>
      <c r="C30" s="12" t="n">
        <f aca="false">$A30*C$28-LotKg*Sel_Raw</f>
        <v>-1500</v>
      </c>
      <c r="D30" s="12" t="n">
        <f aca="false">$A30*D$28-LotKg*Sel_Raw</f>
        <v>2200</v>
      </c>
    </row>
    <row r="31" customFormat="false" ht="15" hidden="false" customHeight="false" outlineLevel="0" collapsed="false">
      <c r="A31" s="12" t="n">
        <f aca="false">LotKg*Recovery_Hi/RecoveryBasis</f>
        <v>40</v>
      </c>
      <c r="B31" s="12" t="n">
        <f aca="false">$A31*B$28-LotKg*Sel_Raw</f>
        <v>-4000</v>
      </c>
      <c r="C31" s="12" t="n">
        <f aca="false">$A31*C$28-LotKg*Sel_Raw</f>
        <v>0</v>
      </c>
      <c r="D31" s="12" t="n">
        <f aca="false">$A31*D$28-LotKg*Sel_Raw</f>
        <v>4000</v>
      </c>
    </row>
  </sheetData>
  <conditionalFormatting sqref="B1:F80">
    <cfRule type="cellIs" priority="2" operator="lessThan" aboveAverage="0" equalAverage="0" bottom="0" percent="0" rank="0" text="" dxfId="0">
      <formula>0</formula>
    </cfRule>
  </conditionalFormatting>
  <dataValidations count="1">
    <dataValidation allowBlank="false" errorStyle="stop" operator="between" showDropDown="false" showErrorMessage="false" showInputMessage="false" sqref="B3" type="list">
      <formula1>"Low,Mid,High"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0"/>
    <col collapsed="false" customWidth="true" hidden="false" outlineLevel="0" max="3" min="3" style="0" width="22"/>
  </cols>
  <sheetData>
    <row r="1" customFormat="false" ht="32.8" hidden="false" customHeight="false" outlineLevel="0" collapsed="false">
      <c r="A1" s="1" t="s">
        <v>344</v>
      </c>
    </row>
    <row r="2" customFormat="false" ht="46.25" hidden="false" customHeight="false" outlineLevel="0" collapsed="false">
      <c r="A2" s="2" t="s">
        <v>345</v>
      </c>
    </row>
    <row r="4" customFormat="false" ht="15" hidden="false" customHeight="false" outlineLevel="0" collapsed="false">
      <c r="A4" s="4" t="s">
        <v>346</v>
      </c>
      <c r="B4" s="4" t="s">
        <v>347</v>
      </c>
      <c r="C4" s="4" t="s">
        <v>23</v>
      </c>
    </row>
    <row r="5" customFormat="false" ht="15" hidden="false" customHeight="false" outlineLevel="0" collapsed="false">
      <c r="A5" s="2" t="s">
        <v>348</v>
      </c>
      <c r="B5" s="2" t="str">
        <f aca="false">"Pop and grade makhana for a group, in toll mode. Scenario in use: "&amp;ScenarioChoice&amp;"."</f>
        <v>Pop and grade makhana for a group, in toll mode. Scenario in use: Mid.</v>
      </c>
      <c r="C5" s="2" t="s">
        <v>96</v>
      </c>
    </row>
    <row r="6" customFormat="false" ht="23.85" hidden="false" customHeight="false" outlineLevel="0" collapsed="false">
      <c r="A6" s="2" t="s">
        <v>349</v>
      </c>
      <c r="B6" s="2" t="str">
        <f aca="false">"The group pays the toll. Rs "&amp;TollPerKg&amp;" per kg popped is one study's premium, not a rate any group has agreed. Buyer payment days: "&amp;IF(ISBLANK(BuyerPaymentDays),"— input needed",BuyerPaymentDays)&amp;"."</f>
        <v>The group pays the toll. Rs 50 per kg popped is one study's premium, not a rate any group has agreed. Buyer payment days: — input needed.</v>
      </c>
      <c r="C6" s="2" t="s">
        <v>56</v>
      </c>
    </row>
    <row r="7" customFormat="false" ht="23.85" hidden="false" customHeight="false" outlineLevel="0" collapsed="false">
      <c r="A7" s="2" t="s">
        <v>350</v>
      </c>
      <c r="B7" s="2" t="str">
        <f aca="false">"Recovery "&amp;Recovery_Lo&amp;" to "&amp;Recovery_Hi&amp;" kg per "&amp;RecoveryBasis&amp;" kg raw and wholesale Rs "&amp;Wholesale_Lo&amp;" to "&amp;Wholesale_Hi&amp;" per kg: planning estimates. Her local slip: unknown until she weighs a lot."</f>
        <v>Recovery 35 to 40 kg per 100 kg raw and wholesale Rs 400 to 600 per kg: planning estimates. Her local slip: unknown until she weighs a lot.</v>
      </c>
      <c r="C7" s="2" t="s">
        <v>28</v>
      </c>
    </row>
    <row r="8" customFormat="false" ht="15" hidden="false" customHeight="false" outlineLevel="0" collapsed="false">
      <c r="A8" s="2" t="s">
        <v>351</v>
      </c>
      <c r="B8" s="2" t="str">
        <f aca="false">IF(ISBLANK(SeasonMonths),"— input needed (season months)",MonthsInYear-SeasonMonths&amp;" off-season months a year")</f>
        <v>— input needed (season months)</v>
      </c>
      <c r="C8" s="2" t="s">
        <v>191</v>
      </c>
    </row>
    <row r="9" customFormat="false" ht="15" hidden="false" customHeight="false" outlineLevel="0" collapsed="false">
      <c r="A9" s="2" t="s">
        <v>352</v>
      </c>
      <c r="B9" s="2" t="str">
        <f aca="false">IF(ISBLANK(RawKgPerMonth),"— input needed",RawKgPerMonth)</f>
        <v>— input needed</v>
      </c>
      <c r="C9" s="2" t="s">
        <v>353</v>
      </c>
    </row>
    <row r="10" customFormat="false" ht="23.85" hidden="false" customHeight="false" outlineLevel="0" collapsed="false">
      <c r="A10" s="2" t="s">
        <v>354</v>
      </c>
      <c r="B10" s="2" t="str">
        <f aca="false">IF('Break-even'!B12="","— input needed (fixed costs, variable costs, grading fee)",'Break-even'!B12)</f>
        <v>— input needed (fixed costs, variable costs, grading fee)</v>
      </c>
      <c r="C10" s="2" t="s">
        <v>355</v>
      </c>
    </row>
    <row r="11" customFormat="false" ht="15" hidden="false" customHeight="false" outlineLevel="0" collapsed="false">
      <c r="A11" s="2" t="s">
        <v>356</v>
      </c>
      <c r="B11" s="2" t="str">
        <f aca="false">IF(OR(ISBLANK(RawKgPerMonth),'Break-even'!B12=""),"",IF(RawKgPerMonth&lt;'Break-even'!B12,"STOP the toll shed: raw kg per season month is under break-even","Raw kg per season month is at or above break-even"))</f>
        <v/>
      </c>
      <c r="C11" s="2" t="s">
        <v>170</v>
      </c>
    </row>
    <row r="12" customFormat="false" ht="23.85" hidden="false" customHeight="false" outlineLevel="0" collapsed="false">
      <c r="A12" s="2" t="s">
        <v>357</v>
      </c>
      <c r="B12" s="2" t="str">
        <f aca="false">"Wholesale x recovery = Rs "&amp;Sel_Wholesale*Sel_Recovery&amp;" against raw price Rs "&amp;Sel_Raw*RecoveryBasis&amp;" before bags and power: "&amp;IF(Sel_Wholesale*Sel_Recovery&lt;Sel_Raw*RecoveryBasis,"STOP buying seed in trading mode","trading margin is positive before costs")</f>
        <v>Wholesale x recovery = Rs 18500 against raw price Rs 20000 before bags and power: STOP buying seed in trading mode</v>
      </c>
      <c r="C12" s="2" t="s">
        <v>178</v>
      </c>
    </row>
    <row r="13" customFormat="false" ht="23.85" hidden="false" customHeight="false" outlineLevel="0" collapsed="false">
      <c r="A13" s="2" t="s">
        <v>358</v>
      </c>
      <c r="B13" s="2" t="str">
        <f aca="false">"The second shed. Gate: recovery at or above "&amp;Recovery_Lo&amp;" kg per "&amp;RecoveryBasis&amp;" kg and payment inside "&amp;PaymentTargetHours&amp;" hours on nine lots in ten, over a season of lots."</f>
        <v>The second shed. Gate: recovery at or above 35 kg per 100 kg and payment inside 72 hours on nine lots in ten, over a season of lots.</v>
      </c>
      <c r="C13" s="2" t="s">
        <v>87</v>
      </c>
    </row>
    <row r="15" customFormat="false" ht="35.05" hidden="false" customHeight="false" outlineLevel="0" collapsed="false">
      <c r="A15" s="6" t="s">
        <v>359</v>
      </c>
    </row>
  </sheetData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0"/>
    <col collapsed="false" customWidth="true" hidden="false" outlineLevel="0" max="3" min="3" style="0" width="20"/>
    <col collapsed="false" customWidth="true" hidden="false" outlineLevel="0" max="4" min="4" style="0" width="70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360</v>
      </c>
    </row>
    <row r="3" customFormat="false" ht="15" hidden="false" customHeight="false" outlineLevel="0" collapsed="false">
      <c r="A3" s="4" t="s">
        <v>361</v>
      </c>
      <c r="B3" s="4" t="s">
        <v>362</v>
      </c>
      <c r="C3" s="4" t="s">
        <v>23</v>
      </c>
      <c r="D3" s="4" t="s">
        <v>24</v>
      </c>
      <c r="E3" s="4" t="s">
        <v>363</v>
      </c>
    </row>
    <row r="4" customFormat="false" ht="15" hidden="false" customHeight="false" outlineLevel="0" collapsed="false">
      <c r="A4" s="2" t="s">
        <v>100</v>
      </c>
      <c r="B4" s="2" t="s">
        <v>364</v>
      </c>
      <c r="C4" s="2" t="s">
        <v>28</v>
      </c>
      <c r="D4" s="2" t="s">
        <v>365</v>
      </c>
      <c r="E4" s="2"/>
    </row>
    <row r="5" customFormat="false" ht="23.85" hidden="false" customHeight="false" outlineLevel="0" collapsed="false">
      <c r="A5" s="2" t="s">
        <v>40</v>
      </c>
      <c r="B5" s="2" t="s">
        <v>366</v>
      </c>
      <c r="C5" s="2" t="s">
        <v>367</v>
      </c>
      <c r="D5" s="2" t="s">
        <v>368</v>
      </c>
      <c r="E5" s="2"/>
    </row>
    <row r="6" customFormat="false" ht="15" hidden="false" customHeight="false" outlineLevel="0" collapsed="false">
      <c r="A6" s="2" t="s">
        <v>369</v>
      </c>
      <c r="B6" s="2" t="s">
        <v>370</v>
      </c>
      <c r="C6" s="2" t="s">
        <v>371</v>
      </c>
      <c r="D6" s="2" t="s">
        <v>372</v>
      </c>
      <c r="E6" s="2"/>
    </row>
    <row r="7" customFormat="false" ht="15" hidden="false" customHeight="false" outlineLevel="0" collapsed="false">
      <c r="A7" s="2" t="s">
        <v>373</v>
      </c>
      <c r="B7" s="2" t="s">
        <v>374</v>
      </c>
      <c r="C7" s="2" t="s">
        <v>250</v>
      </c>
      <c r="D7" s="2" t="s">
        <v>375</v>
      </c>
      <c r="E7" s="2" t="s">
        <v>376</v>
      </c>
    </row>
    <row r="8" customFormat="false" ht="15" hidden="false" customHeight="false" outlineLevel="0" collapsed="false">
      <c r="A8" s="2" t="s">
        <v>377</v>
      </c>
      <c r="B8" s="2" t="s">
        <v>378</v>
      </c>
      <c r="C8" s="2" t="s">
        <v>379</v>
      </c>
      <c r="D8" s="2" t="s">
        <v>380</v>
      </c>
      <c r="E8" s="2" t="s">
        <v>376</v>
      </c>
    </row>
    <row r="9" customFormat="false" ht="15" hidden="false" customHeight="false" outlineLevel="0" collapsed="false">
      <c r="A9" s="2" t="s">
        <v>381</v>
      </c>
      <c r="B9" s="2" t="s">
        <v>382</v>
      </c>
      <c r="C9" s="2" t="s">
        <v>65</v>
      </c>
      <c r="D9" s="2" t="s">
        <v>383</v>
      </c>
      <c r="E9" s="2" t="s">
        <v>376</v>
      </c>
    </row>
    <row r="10" customFormat="false" ht="15" hidden="false" customHeight="false" outlineLevel="0" collapsed="false">
      <c r="A10" s="2" t="s">
        <v>384</v>
      </c>
      <c r="B10" s="2" t="s">
        <v>385</v>
      </c>
      <c r="C10" s="2" t="s">
        <v>65</v>
      </c>
      <c r="D10" s="2" t="s">
        <v>386</v>
      </c>
      <c r="E10" s="2" t="s">
        <v>376</v>
      </c>
    </row>
    <row r="11" customFormat="false" ht="35.05" hidden="false" customHeight="false" outlineLevel="0" collapsed="false">
      <c r="A11" s="2" t="s">
        <v>387</v>
      </c>
      <c r="B11" s="2" t="s">
        <v>388</v>
      </c>
      <c r="C11" s="2" t="s">
        <v>65</v>
      </c>
      <c r="D11" s="2" t="s">
        <v>389</v>
      </c>
      <c r="E11" s="2" t="s">
        <v>376</v>
      </c>
    </row>
    <row r="12" customFormat="false" ht="15" hidden="false" customHeight="false" outlineLevel="0" collapsed="false">
      <c r="A12" s="2" t="s">
        <v>390</v>
      </c>
      <c r="B12" s="2" t="s">
        <v>391</v>
      </c>
      <c r="C12" s="2" t="s">
        <v>65</v>
      </c>
      <c r="D12" s="2" t="s">
        <v>392</v>
      </c>
      <c r="E12" s="2" t="s">
        <v>376</v>
      </c>
    </row>
  </sheetData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&amp;CThe Missing Step · Chapter 17 · illustrative case&amp;RPage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2026-10-19T11:25:33Z</dcterms:created>
  <dc:creator>Anshuman Singh</dc:creator>
  <dc:description/>
  <dc:language>en-US</dc:language>
  <cp:lastModifiedBy/>
  <dcterms:modified xsi:type="dcterms:W3CDTF">2026-10-19T11:25:33Z</dcterms:modified>
  <cp:revision>0</cp:revision>
  <dc:subject/>
  <dc:title>Makhana stop sheet (illustrative)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